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Produkte\14_ProKilowatt\09_ProKiBe2\14 Anmeldeformular\"/>
    </mc:Choice>
  </mc:AlternateContent>
  <xr:revisionPtr revIDLastSave="0" documentId="13_ncr:1_{F0F90A7D-0D8F-4A33-90E3-11ECFECB1F3F}" xr6:coauthVersionLast="47" xr6:coauthVersionMax="47" xr10:uidLastSave="{00000000-0000-0000-0000-000000000000}"/>
  <workbookProtection workbookAlgorithmName="SHA-512" workbookHashValue="8ZcMcSs8TZLAawHoJUZGyDaKnVx9LsiO8+BCsMmXlgbxFTa/Au5UtHI3mmls0VAKq+5C03XkbBT30D/wX79GPQ==" workbookSaltValue="I86nu+4obpWkowbefn9u0g==" workbookSpinCount="100000" lockStructure="1"/>
  <bookViews>
    <workbookView xWindow="-120" yWindow="-120" windowWidth="29040" windowHeight="15720" xr2:uid="{00000000-000D-0000-FFFF-FFFF00000000}"/>
  </bookViews>
  <sheets>
    <sheet name="Anmeldung" sheetId="1" r:id="rId1"/>
    <sheet name="Ersetzen Motoren" sheetId="25" r:id="rId2"/>
    <sheet name="Sprachen" sheetId="17" state="hidden" r:id="rId3"/>
    <sheet name="Ersatz_Motor" sheetId="18" state="hidden" r:id="rId4"/>
    <sheet name="Ersatz_Ventilator" sheetId="19" state="hidden" r:id="rId5"/>
    <sheet name="Ersetzen Pumpen" sheetId="23" r:id="rId6"/>
    <sheet name="Ersetzen Leuchtmittel" sheetId="21" r:id="rId7"/>
    <sheet name="Ersatz_Heizlüfter" sheetId="24" state="hidden" r:id="rId8"/>
    <sheet name="Vorgabe ProKilowatt Bel" sheetId="20" state="hidden" r:id="rId9"/>
    <sheet name="Export" sheetId="7" state="hidden" r:id="rId10"/>
  </sheets>
  <definedNames>
    <definedName name="andereMn">Anmeldung!#REF!</definedName>
    <definedName name="_xlnm.Print_Area" localSheetId="0">Anmeldung!$A$1:$J$66</definedName>
    <definedName name="Fremdforderung">Anmeldung!#REF!</definedName>
    <definedName name="Fremdförderung">Anmeldung!#REF!</definedName>
    <definedName name="Massn1">Anmeldung!#REF!</definedName>
    <definedName name="Massn2">Anmeldung!#REF!</definedName>
    <definedName name="Massn3">Anmeldung!#REF!</definedName>
    <definedName name="Massn4">Anmeldung!#REF!</definedName>
    <definedName name="Massn5" localSheetId="0">Anmeldung!$B$1:$J$62</definedName>
    <definedName name="Verpflichtung">Anmeldung!#REF!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  <c r="V3" i="7"/>
  <c r="D13" i="25"/>
  <c r="AE3" i="18" l="1"/>
  <c r="AE4" i="18"/>
  <c r="AE5" i="18"/>
  <c r="AE6" i="18"/>
  <c r="AE7" i="18"/>
  <c r="AE8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2" i="18"/>
  <c r="Z2" i="18"/>
  <c r="AF3" i="18"/>
  <c r="AG3" i="18"/>
  <c r="AH3" i="18"/>
  <c r="AF4" i="18"/>
  <c r="AG4" i="18"/>
  <c r="AH4" i="18"/>
  <c r="AF5" i="18"/>
  <c r="AG5" i="18"/>
  <c r="AH5" i="18"/>
  <c r="AF6" i="18"/>
  <c r="AG6" i="18"/>
  <c r="AH6" i="18"/>
  <c r="AF7" i="18"/>
  <c r="AG7" i="18"/>
  <c r="AH7" i="18"/>
  <c r="AF8" i="18"/>
  <c r="AG8" i="18"/>
  <c r="AH8" i="18"/>
  <c r="AF9" i="18"/>
  <c r="AG9" i="18"/>
  <c r="AH9" i="18"/>
  <c r="AF10" i="18"/>
  <c r="AG10" i="18"/>
  <c r="AH10" i="18"/>
  <c r="AF11" i="18"/>
  <c r="AG11" i="18"/>
  <c r="AH11" i="18"/>
  <c r="AF12" i="18"/>
  <c r="AG12" i="18"/>
  <c r="AH12" i="18"/>
  <c r="AF13" i="18"/>
  <c r="AG13" i="18"/>
  <c r="AH13" i="18"/>
  <c r="AF14" i="18"/>
  <c r="AG14" i="18"/>
  <c r="AH14" i="18"/>
  <c r="AF15" i="18"/>
  <c r="AG15" i="18"/>
  <c r="AH15" i="18"/>
  <c r="AF16" i="18"/>
  <c r="AG16" i="18"/>
  <c r="AH16" i="18"/>
  <c r="AF17" i="18"/>
  <c r="AG17" i="18"/>
  <c r="AH17" i="18"/>
  <c r="AF18" i="18"/>
  <c r="AG18" i="18"/>
  <c r="AH18" i="18"/>
  <c r="AF19" i="18"/>
  <c r="AG19" i="18"/>
  <c r="AH19" i="18"/>
  <c r="AF20" i="18"/>
  <c r="AG20" i="18"/>
  <c r="AH20" i="18"/>
  <c r="AF21" i="18"/>
  <c r="AG21" i="18"/>
  <c r="AH21" i="18"/>
  <c r="AF22" i="18"/>
  <c r="AG22" i="18"/>
  <c r="AH22" i="18"/>
  <c r="AF23" i="18"/>
  <c r="AG23" i="18"/>
  <c r="AH23" i="18"/>
  <c r="AF24" i="18"/>
  <c r="AG24" i="18"/>
  <c r="AH24" i="18"/>
  <c r="AF25" i="18"/>
  <c r="AG25" i="18"/>
  <c r="AH25" i="18"/>
  <c r="AF26" i="18"/>
  <c r="AG26" i="18"/>
  <c r="AH26" i="18"/>
  <c r="AF27" i="18"/>
  <c r="AG27" i="18"/>
  <c r="AH27" i="18"/>
  <c r="AF28" i="18"/>
  <c r="AG28" i="18"/>
  <c r="AH28" i="18"/>
  <c r="AF29" i="18"/>
  <c r="AG29" i="18"/>
  <c r="AH29" i="18"/>
  <c r="AF30" i="18"/>
  <c r="AG30" i="18"/>
  <c r="AH30" i="18"/>
  <c r="AH2" i="18"/>
  <c r="AG2" i="18"/>
  <c r="AF2" i="18"/>
  <c r="Z3" i="18"/>
  <c r="AA3" i="18"/>
  <c r="AB3" i="18"/>
  <c r="AC3" i="18"/>
  <c r="Z4" i="18"/>
  <c r="AA4" i="18"/>
  <c r="AB4" i="18"/>
  <c r="AC4" i="18"/>
  <c r="Z5" i="18"/>
  <c r="AA5" i="18"/>
  <c r="AB5" i="18"/>
  <c r="AC5" i="18"/>
  <c r="Z6" i="18"/>
  <c r="AA6" i="18"/>
  <c r="AB6" i="18"/>
  <c r="AC6" i="18"/>
  <c r="Z7" i="18"/>
  <c r="AA7" i="18"/>
  <c r="AB7" i="18"/>
  <c r="AC7" i="18"/>
  <c r="Z8" i="18"/>
  <c r="AA8" i="18"/>
  <c r="AB8" i="18"/>
  <c r="AC8" i="18"/>
  <c r="Z9" i="18"/>
  <c r="AA9" i="18"/>
  <c r="AB9" i="18"/>
  <c r="AC9" i="18"/>
  <c r="Z10" i="18"/>
  <c r="AA10" i="18"/>
  <c r="AB10" i="18"/>
  <c r="AC10" i="18"/>
  <c r="Z11" i="18"/>
  <c r="AA11" i="18"/>
  <c r="AB11" i="18"/>
  <c r="AC11" i="18"/>
  <c r="Z12" i="18"/>
  <c r="AA12" i="18"/>
  <c r="AB12" i="18"/>
  <c r="AC12" i="18"/>
  <c r="Z13" i="18"/>
  <c r="AA13" i="18"/>
  <c r="AB13" i="18"/>
  <c r="AC13" i="18"/>
  <c r="Z14" i="18"/>
  <c r="AA14" i="18"/>
  <c r="AB14" i="18"/>
  <c r="AC14" i="18"/>
  <c r="Z15" i="18"/>
  <c r="AA15" i="18"/>
  <c r="AB15" i="18"/>
  <c r="AC15" i="18"/>
  <c r="Z16" i="18"/>
  <c r="AA16" i="18"/>
  <c r="AB16" i="18"/>
  <c r="AC16" i="18"/>
  <c r="Z17" i="18"/>
  <c r="AA17" i="18"/>
  <c r="AB17" i="18"/>
  <c r="AC17" i="18"/>
  <c r="Z18" i="18"/>
  <c r="AA18" i="18"/>
  <c r="AB18" i="18"/>
  <c r="AC18" i="18"/>
  <c r="Z19" i="18"/>
  <c r="AA19" i="18"/>
  <c r="AB19" i="18"/>
  <c r="AC19" i="18"/>
  <c r="Z20" i="18"/>
  <c r="AA20" i="18"/>
  <c r="AB20" i="18"/>
  <c r="AC20" i="18"/>
  <c r="Z21" i="18"/>
  <c r="AA21" i="18"/>
  <c r="AB21" i="18"/>
  <c r="AC21" i="18"/>
  <c r="Z22" i="18"/>
  <c r="AA22" i="18"/>
  <c r="AB22" i="18"/>
  <c r="AC22" i="18"/>
  <c r="Z23" i="18"/>
  <c r="AA23" i="18"/>
  <c r="AB23" i="18"/>
  <c r="AC23" i="18"/>
  <c r="Z24" i="18"/>
  <c r="AA24" i="18"/>
  <c r="AB24" i="18"/>
  <c r="AC24" i="18"/>
  <c r="Z25" i="18"/>
  <c r="AA25" i="18"/>
  <c r="AB25" i="18"/>
  <c r="AC25" i="18"/>
  <c r="Z26" i="18"/>
  <c r="AA26" i="18"/>
  <c r="AB26" i="18"/>
  <c r="AC26" i="18"/>
  <c r="Z27" i="18"/>
  <c r="AA27" i="18"/>
  <c r="AB27" i="18"/>
  <c r="AC27" i="18"/>
  <c r="Z28" i="18"/>
  <c r="AA28" i="18"/>
  <c r="AB28" i="18"/>
  <c r="AC28" i="18"/>
  <c r="Z29" i="18"/>
  <c r="AA29" i="18"/>
  <c r="AB29" i="18"/>
  <c r="AC29" i="18"/>
  <c r="Z30" i="18"/>
  <c r="AA30" i="18"/>
  <c r="AB30" i="18"/>
  <c r="AC30" i="18"/>
  <c r="AC2" i="18"/>
  <c r="AB2" i="18"/>
  <c r="AA2" i="18"/>
  <c r="V3" i="18"/>
  <c r="V4" i="18"/>
  <c r="V5" i="18"/>
  <c r="V6" i="18"/>
  <c r="V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2" i="18"/>
  <c r="Q3" i="18"/>
  <c r="Q4" i="18"/>
  <c r="Q5" i="18"/>
  <c r="Q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2" i="18"/>
  <c r="L3" i="18"/>
  <c r="L4" i="18"/>
  <c r="L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2" i="18"/>
  <c r="U3" i="18"/>
  <c r="W3" i="18"/>
  <c r="X3" i="18"/>
  <c r="U4" i="18"/>
  <c r="W4" i="18"/>
  <c r="X4" i="18"/>
  <c r="U5" i="18"/>
  <c r="W5" i="18"/>
  <c r="X5" i="18"/>
  <c r="U6" i="18"/>
  <c r="W6" i="18"/>
  <c r="X6" i="18"/>
  <c r="U7" i="18"/>
  <c r="W7" i="18"/>
  <c r="X7" i="18"/>
  <c r="U8" i="18"/>
  <c r="W8" i="18"/>
  <c r="X8" i="18"/>
  <c r="U9" i="18"/>
  <c r="W9" i="18"/>
  <c r="X9" i="18"/>
  <c r="U10" i="18"/>
  <c r="W10" i="18"/>
  <c r="X10" i="18"/>
  <c r="U11" i="18"/>
  <c r="W11" i="18"/>
  <c r="X11" i="18"/>
  <c r="U12" i="18"/>
  <c r="W12" i="18"/>
  <c r="X12" i="18"/>
  <c r="U13" i="18"/>
  <c r="W13" i="18"/>
  <c r="X13" i="18"/>
  <c r="U14" i="18"/>
  <c r="W14" i="18"/>
  <c r="X14" i="18"/>
  <c r="U15" i="18"/>
  <c r="W15" i="18"/>
  <c r="X15" i="18"/>
  <c r="U16" i="18"/>
  <c r="W16" i="18"/>
  <c r="X16" i="18"/>
  <c r="U17" i="18"/>
  <c r="W17" i="18"/>
  <c r="X17" i="18"/>
  <c r="U18" i="18"/>
  <c r="W18" i="18"/>
  <c r="X18" i="18"/>
  <c r="U19" i="18"/>
  <c r="W19" i="18"/>
  <c r="X19" i="18"/>
  <c r="U20" i="18"/>
  <c r="W20" i="18"/>
  <c r="X20" i="18"/>
  <c r="U21" i="18"/>
  <c r="W21" i="18"/>
  <c r="X21" i="18"/>
  <c r="U22" i="18"/>
  <c r="W22" i="18"/>
  <c r="X22" i="18"/>
  <c r="U23" i="18"/>
  <c r="W23" i="18"/>
  <c r="X23" i="18"/>
  <c r="U24" i="18"/>
  <c r="W24" i="18"/>
  <c r="X24" i="18"/>
  <c r="U25" i="18"/>
  <c r="W25" i="18"/>
  <c r="X25" i="18"/>
  <c r="U26" i="18"/>
  <c r="W26" i="18"/>
  <c r="X26" i="18"/>
  <c r="U27" i="18"/>
  <c r="W27" i="18"/>
  <c r="X27" i="18"/>
  <c r="U28" i="18"/>
  <c r="W28" i="18"/>
  <c r="X28" i="18"/>
  <c r="U29" i="18"/>
  <c r="W29" i="18"/>
  <c r="X29" i="18"/>
  <c r="U30" i="18"/>
  <c r="W30" i="18"/>
  <c r="X30" i="18"/>
  <c r="X2" i="18"/>
  <c r="W2" i="18"/>
  <c r="U2" i="18"/>
  <c r="S3" i="18"/>
  <c r="S4" i="18"/>
  <c r="S5" i="18"/>
  <c r="S6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2" i="18"/>
  <c r="N2" i="18"/>
  <c r="R3" i="18"/>
  <c r="R4" i="18"/>
  <c r="R5" i="18"/>
  <c r="R6" i="18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2" i="18"/>
  <c r="P3" i="18"/>
  <c r="P4" i="18"/>
  <c r="P5" i="18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2" i="18"/>
  <c r="N3" i="18"/>
  <c r="N4" i="18"/>
  <c r="N5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M3" i="18"/>
  <c r="M4" i="18"/>
  <c r="M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2" i="18"/>
  <c r="K7" i="18"/>
  <c r="K3" i="18"/>
  <c r="K4" i="18"/>
  <c r="K5" i="18"/>
  <c r="K6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2" i="18"/>
  <c r="G17" i="18"/>
  <c r="G4" i="25" a="1"/>
  <c r="G4" i="25" s="1"/>
  <c r="C4" i="25" a="1"/>
  <c r="C4" i="25" s="1"/>
  <c r="K4" i="25" a="1"/>
  <c r="K4" i="25" s="1"/>
  <c r="I4" i="25" a="1"/>
  <c r="I4" i="25" s="1"/>
  <c r="E4" i="25" a="1"/>
  <c r="E4" i="25" s="1"/>
  <c r="H4" i="25" a="1"/>
  <c r="H4" i="25" s="1"/>
  <c r="D4" i="25" a="1"/>
  <c r="D4" i="25" s="1"/>
  <c r="F4" i="25" a="1"/>
  <c r="F4" i="25" s="1"/>
  <c r="B4" i="25" a="1"/>
  <c r="B4" i="25" s="1"/>
  <c r="J4" i="25" a="1"/>
  <c r="J4" i="25" s="1"/>
  <c r="L3" i="24"/>
  <c r="L2" i="24"/>
  <c r="D7" i="24"/>
  <c r="F454" i="24" s="1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12" i="24"/>
  <c r="K23" i="1"/>
  <c r="H23" i="1" s="1" a="1"/>
  <c r="H23" i="1" s="1"/>
  <c r="K23" i="24"/>
  <c r="K31" i="24"/>
  <c r="K30" i="24"/>
  <c r="K29" i="24"/>
  <c r="K28" i="24"/>
  <c r="K27" i="24"/>
  <c r="K26" i="24"/>
  <c r="K25" i="24"/>
  <c r="K24" i="24"/>
  <c r="K22" i="24"/>
  <c r="K21" i="24"/>
  <c r="K20" i="24"/>
  <c r="K19" i="24"/>
  <c r="K18" i="24"/>
  <c r="K17" i="24"/>
  <c r="K16" i="24"/>
  <c r="K12" i="24"/>
  <c r="K15" i="24"/>
  <c r="K14" i="24"/>
  <c r="K13" i="24"/>
  <c r="E443" i="24"/>
  <c r="E442" i="24"/>
  <c r="D443" i="24" s="1"/>
  <c r="E441" i="24"/>
  <c r="D442" i="24" s="1"/>
  <c r="E440" i="24"/>
  <c r="E439" i="24"/>
  <c r="E438" i="24"/>
  <c r="E437" i="24"/>
  <c r="E436" i="24"/>
  <c r="D437" i="24" s="1"/>
  <c r="E435" i="24"/>
  <c r="D436" i="24" s="1"/>
  <c r="E434" i="24"/>
  <c r="E433" i="24"/>
  <c r="E432" i="24"/>
  <c r="D433" i="24" s="1"/>
  <c r="E431" i="24"/>
  <c r="E430" i="24"/>
  <c r="E429" i="24"/>
  <c r="E428" i="24"/>
  <c r="E468" i="24"/>
  <c r="D468" i="24" s="1"/>
  <c r="C468" i="24"/>
  <c r="E467" i="24"/>
  <c r="D467" i="24"/>
  <c r="C467" i="24"/>
  <c r="E466" i="24"/>
  <c r="D466" i="24" s="1"/>
  <c r="C466" i="24"/>
  <c r="E465" i="24"/>
  <c r="D465" i="24"/>
  <c r="C465" i="24"/>
  <c r="E464" i="24"/>
  <c r="D464" i="24" s="1"/>
  <c r="C464" i="24"/>
  <c r="E463" i="24"/>
  <c r="D463" i="24"/>
  <c r="C463" i="24"/>
  <c r="E462" i="24"/>
  <c r="D462" i="24" s="1"/>
  <c r="C462" i="24"/>
  <c r="E461" i="24"/>
  <c r="D461" i="24"/>
  <c r="C461" i="24"/>
  <c r="E460" i="24"/>
  <c r="D460" i="24" s="1"/>
  <c r="C460" i="24"/>
  <c r="D459" i="24"/>
  <c r="C459" i="24"/>
  <c r="D458" i="24"/>
  <c r="C458" i="24"/>
  <c r="D457" i="24"/>
  <c r="C457" i="24"/>
  <c r="D456" i="24"/>
  <c r="C456" i="24"/>
  <c r="D455" i="24"/>
  <c r="C455" i="24"/>
  <c r="D454" i="24"/>
  <c r="C454" i="24"/>
  <c r="D453" i="24"/>
  <c r="C453" i="24"/>
  <c r="D452" i="24"/>
  <c r="C452" i="24"/>
  <c r="D451" i="24"/>
  <c r="C451" i="24"/>
  <c r="D450" i="24"/>
  <c r="C450" i="24"/>
  <c r="D449" i="24"/>
  <c r="C449" i="24"/>
  <c r="D448" i="24"/>
  <c r="C448" i="24"/>
  <c r="D447" i="24"/>
  <c r="C447" i="24"/>
  <c r="C443" i="24"/>
  <c r="C442" i="24"/>
  <c r="C441" i="24"/>
  <c r="D440" i="24"/>
  <c r="C440" i="24"/>
  <c r="D439" i="24"/>
  <c r="C439" i="24"/>
  <c r="C438" i="24"/>
  <c r="C437" i="24"/>
  <c r="C436" i="24"/>
  <c r="C435" i="24"/>
  <c r="D434" i="24"/>
  <c r="C434" i="24"/>
  <c r="C433" i="24"/>
  <c r="C432" i="24"/>
  <c r="C431" i="24"/>
  <c r="D430" i="24"/>
  <c r="C430" i="24"/>
  <c r="C429" i="24"/>
  <c r="D428" i="24"/>
  <c r="C428" i="24"/>
  <c r="D427" i="24"/>
  <c r="C427" i="24"/>
  <c r="D426" i="24"/>
  <c r="C426" i="24"/>
  <c r="D425" i="24"/>
  <c r="C425" i="24"/>
  <c r="D424" i="24"/>
  <c r="C424" i="24"/>
  <c r="D423" i="24"/>
  <c r="C423" i="24"/>
  <c r="D422" i="24"/>
  <c r="C422" i="24"/>
  <c r="E418" i="24"/>
  <c r="E417" i="24"/>
  <c r="E416" i="24"/>
  <c r="D416" i="24" s="1"/>
  <c r="E415" i="24"/>
  <c r="E414" i="24"/>
  <c r="E413" i="24"/>
  <c r="E412" i="24"/>
  <c r="D413" i="24" s="1"/>
  <c r="C418" i="24"/>
  <c r="D417" i="24"/>
  <c r="C417" i="24"/>
  <c r="C416" i="24"/>
  <c r="D415" i="24"/>
  <c r="C415" i="24"/>
  <c r="C414" i="24"/>
  <c r="C413" i="24"/>
  <c r="D412" i="24"/>
  <c r="C412" i="24"/>
  <c r="D411" i="24"/>
  <c r="C411" i="24"/>
  <c r="D410" i="24"/>
  <c r="C410" i="24"/>
  <c r="D409" i="24"/>
  <c r="C409" i="24"/>
  <c r="D408" i="24"/>
  <c r="C408" i="24"/>
  <c r="D407" i="24"/>
  <c r="C407" i="24"/>
  <c r="D406" i="24"/>
  <c r="C406" i="24"/>
  <c r="D405" i="24"/>
  <c r="C405" i="24"/>
  <c r="D404" i="24"/>
  <c r="C404" i="24"/>
  <c r="D403" i="24"/>
  <c r="C403" i="24"/>
  <c r="D402" i="24"/>
  <c r="C402" i="24"/>
  <c r="D401" i="24"/>
  <c r="C401" i="24"/>
  <c r="D400" i="24"/>
  <c r="C400" i="24"/>
  <c r="D399" i="24"/>
  <c r="C399" i="24"/>
  <c r="D398" i="24"/>
  <c r="C398" i="24"/>
  <c r="D397" i="24"/>
  <c r="C397" i="24"/>
  <c r="E393" i="24"/>
  <c r="E392" i="24"/>
  <c r="E391" i="24"/>
  <c r="D391" i="24" s="1"/>
  <c r="E390" i="24"/>
  <c r="E389" i="24"/>
  <c r="D390" i="24" s="1"/>
  <c r="E388" i="24"/>
  <c r="D378" i="24"/>
  <c r="D380" i="24"/>
  <c r="D381" i="24"/>
  <c r="D393" i="24"/>
  <c r="C393" i="24"/>
  <c r="D392" i="24"/>
  <c r="C392" i="24"/>
  <c r="C391" i="24"/>
  <c r="C390" i="24"/>
  <c r="C389" i="24"/>
  <c r="D388" i="24"/>
  <c r="C388" i="24"/>
  <c r="D387" i="24"/>
  <c r="C387" i="24"/>
  <c r="D386" i="24"/>
  <c r="C386" i="24"/>
  <c r="D385" i="24"/>
  <c r="C385" i="24"/>
  <c r="D384" i="24"/>
  <c r="C384" i="24"/>
  <c r="D383" i="24"/>
  <c r="C383" i="24"/>
  <c r="D382" i="24"/>
  <c r="C382" i="24"/>
  <c r="C381" i="24"/>
  <c r="C380" i="24"/>
  <c r="D379" i="24"/>
  <c r="C379" i="24"/>
  <c r="C378" i="24"/>
  <c r="D377" i="24"/>
  <c r="C377" i="24"/>
  <c r="D376" i="24"/>
  <c r="C376" i="24"/>
  <c r="D375" i="24"/>
  <c r="C375" i="24"/>
  <c r="D374" i="24"/>
  <c r="C374" i="24"/>
  <c r="D373" i="24"/>
  <c r="C373" i="24"/>
  <c r="D372" i="24"/>
  <c r="C372" i="24"/>
  <c r="E368" i="24"/>
  <c r="E367" i="24"/>
  <c r="E366" i="24"/>
  <c r="E365" i="24"/>
  <c r="E364" i="24"/>
  <c r="E363" i="24"/>
  <c r="E362" i="24"/>
  <c r="C368" i="24"/>
  <c r="D368" i="24"/>
  <c r="C367" i="24"/>
  <c r="C366" i="24"/>
  <c r="C365" i="24"/>
  <c r="C364" i="24"/>
  <c r="D363" i="24"/>
  <c r="C363" i="24"/>
  <c r="D362" i="24"/>
  <c r="C362" i="24"/>
  <c r="D361" i="24"/>
  <c r="C361" i="24"/>
  <c r="D360" i="24"/>
  <c r="C360" i="24"/>
  <c r="D359" i="24"/>
  <c r="C359" i="24"/>
  <c r="D358" i="24"/>
  <c r="C358" i="24"/>
  <c r="D357" i="24"/>
  <c r="C357" i="24"/>
  <c r="D356" i="24"/>
  <c r="C356" i="24"/>
  <c r="D355" i="24"/>
  <c r="C355" i="24"/>
  <c r="D354" i="24"/>
  <c r="C354" i="24"/>
  <c r="D353" i="24"/>
  <c r="C353" i="24"/>
  <c r="D352" i="24"/>
  <c r="C352" i="24"/>
  <c r="D351" i="24"/>
  <c r="C351" i="24"/>
  <c r="D350" i="24"/>
  <c r="C350" i="24"/>
  <c r="D349" i="24"/>
  <c r="C349" i="24"/>
  <c r="D348" i="24"/>
  <c r="C348" i="24"/>
  <c r="D347" i="24"/>
  <c r="C347" i="24"/>
  <c r="F347" i="24" s="1"/>
  <c r="E343" i="24"/>
  <c r="D343" i="24" s="1"/>
  <c r="E342" i="24"/>
  <c r="E341" i="24"/>
  <c r="D342" i="24" s="1"/>
  <c r="E340" i="24"/>
  <c r="D340" i="24" s="1"/>
  <c r="E339" i="24"/>
  <c r="E338" i="24"/>
  <c r="E337" i="24"/>
  <c r="E336" i="24"/>
  <c r="E335" i="24"/>
  <c r="E332" i="24"/>
  <c r="D333" i="24" s="1"/>
  <c r="E331" i="24"/>
  <c r="E330" i="24"/>
  <c r="E329" i="24"/>
  <c r="D330" i="24" s="1"/>
  <c r="E328" i="24"/>
  <c r="E327" i="24"/>
  <c r="D328" i="24" s="1"/>
  <c r="E326" i="24"/>
  <c r="D327" i="24"/>
  <c r="E325" i="24"/>
  <c r="E324" i="24"/>
  <c r="E323" i="24"/>
  <c r="D312" i="24"/>
  <c r="C312" i="24"/>
  <c r="C313" i="24"/>
  <c r="D313" i="24"/>
  <c r="C314" i="24"/>
  <c r="D314" i="24"/>
  <c r="C315" i="24"/>
  <c r="D315" i="24"/>
  <c r="C316" i="24"/>
  <c r="D316" i="24"/>
  <c r="C317" i="24"/>
  <c r="D317" i="24"/>
  <c r="C318" i="24"/>
  <c r="D318" i="24"/>
  <c r="C319" i="24"/>
  <c r="D319" i="24"/>
  <c r="C320" i="24"/>
  <c r="D320" i="24"/>
  <c r="C321" i="24"/>
  <c r="D321" i="24"/>
  <c r="C322" i="24"/>
  <c r="D322" i="24"/>
  <c r="C343" i="24"/>
  <c r="C342" i="24"/>
  <c r="C341" i="24"/>
  <c r="D341" i="24"/>
  <c r="C340" i="24"/>
  <c r="C339" i="24"/>
  <c r="D339" i="24"/>
  <c r="C338" i="24"/>
  <c r="C337" i="24"/>
  <c r="D337" i="24"/>
  <c r="D336" i="24"/>
  <c r="C336" i="24"/>
  <c r="C335" i="24"/>
  <c r="D335" i="24"/>
  <c r="D334" i="24"/>
  <c r="C334" i="24"/>
  <c r="C333" i="24"/>
  <c r="D332" i="24"/>
  <c r="C332" i="24"/>
  <c r="D331" i="24"/>
  <c r="C331" i="24"/>
  <c r="C330" i="24"/>
  <c r="C329" i="24"/>
  <c r="C328" i="24"/>
  <c r="C327" i="24"/>
  <c r="C326" i="24"/>
  <c r="D325" i="24"/>
  <c r="C325" i="24"/>
  <c r="D324" i="24"/>
  <c r="C324" i="24"/>
  <c r="D323" i="24"/>
  <c r="C323" i="24"/>
  <c r="E308" i="24"/>
  <c r="E307" i="24"/>
  <c r="E306" i="24"/>
  <c r="E305" i="24"/>
  <c r="E304" i="24"/>
  <c r="E303" i="24"/>
  <c r="D304" i="24" s="1"/>
  <c r="E302" i="24"/>
  <c r="E301" i="24"/>
  <c r="E300" i="24"/>
  <c r="E299" i="24"/>
  <c r="D300" i="24" s="1"/>
  <c r="D308" i="24"/>
  <c r="C308" i="24"/>
  <c r="C307" i="24"/>
  <c r="C306" i="24"/>
  <c r="C305" i="24"/>
  <c r="C304" i="24"/>
  <c r="D303" i="24"/>
  <c r="C303" i="24"/>
  <c r="D302" i="24"/>
  <c r="C302" i="24"/>
  <c r="D301" i="24"/>
  <c r="C301" i="24"/>
  <c r="C300" i="24"/>
  <c r="C299" i="24"/>
  <c r="D298" i="24"/>
  <c r="C298" i="24"/>
  <c r="D297" i="24"/>
  <c r="C297" i="24"/>
  <c r="D296" i="24"/>
  <c r="C296" i="24"/>
  <c r="D295" i="24"/>
  <c r="C295" i="24"/>
  <c r="D294" i="24"/>
  <c r="C294" i="24"/>
  <c r="D293" i="24"/>
  <c r="C293" i="24"/>
  <c r="D292" i="24"/>
  <c r="C292" i="24"/>
  <c r="D291" i="24"/>
  <c r="C291" i="24"/>
  <c r="D290" i="24"/>
  <c r="C290" i="24"/>
  <c r="D289" i="24"/>
  <c r="C289" i="24"/>
  <c r="D288" i="24"/>
  <c r="C288" i="24"/>
  <c r="D287" i="24"/>
  <c r="C287" i="24"/>
  <c r="E283" i="24"/>
  <c r="E282" i="24"/>
  <c r="D282" i="24" s="1"/>
  <c r="E281" i="24"/>
  <c r="E280" i="24"/>
  <c r="C283" i="24"/>
  <c r="C282" i="24"/>
  <c r="D281" i="24"/>
  <c r="C281" i="24"/>
  <c r="D280" i="24"/>
  <c r="C280" i="24"/>
  <c r="D279" i="24"/>
  <c r="C279" i="24"/>
  <c r="D278" i="24"/>
  <c r="C278" i="24"/>
  <c r="D277" i="24"/>
  <c r="C277" i="24"/>
  <c r="D276" i="24"/>
  <c r="C276" i="24"/>
  <c r="D275" i="24"/>
  <c r="C275" i="24"/>
  <c r="D274" i="24"/>
  <c r="C274" i="24"/>
  <c r="D273" i="24"/>
  <c r="C273" i="24"/>
  <c r="D272" i="24"/>
  <c r="C272" i="24"/>
  <c r="D271" i="24"/>
  <c r="C271" i="24"/>
  <c r="D270" i="24"/>
  <c r="C270" i="24"/>
  <c r="D269" i="24"/>
  <c r="C269" i="24"/>
  <c r="D268" i="24"/>
  <c r="C268" i="24"/>
  <c r="D267" i="24"/>
  <c r="C267" i="24"/>
  <c r="D266" i="24"/>
  <c r="C266" i="24"/>
  <c r="D265" i="24"/>
  <c r="C265" i="24"/>
  <c r="D264" i="24"/>
  <c r="C264" i="24"/>
  <c r="D263" i="24"/>
  <c r="C263" i="24"/>
  <c r="D262" i="24"/>
  <c r="C262" i="24"/>
  <c r="E258" i="24"/>
  <c r="E257" i="24"/>
  <c r="D257" i="24" s="1"/>
  <c r="E256" i="24"/>
  <c r="E255" i="24"/>
  <c r="C258" i="24"/>
  <c r="C257" i="24"/>
  <c r="C256" i="24"/>
  <c r="D255" i="24"/>
  <c r="C255" i="24"/>
  <c r="D254" i="24"/>
  <c r="C254" i="24"/>
  <c r="D253" i="24"/>
  <c r="C253" i="24"/>
  <c r="D252" i="24"/>
  <c r="C252" i="24"/>
  <c r="D251" i="24"/>
  <c r="C251" i="24"/>
  <c r="D250" i="24"/>
  <c r="C250" i="24"/>
  <c r="D249" i="24"/>
  <c r="C249" i="24"/>
  <c r="D248" i="24"/>
  <c r="C248" i="24"/>
  <c r="D247" i="24"/>
  <c r="C247" i="24"/>
  <c r="D246" i="24"/>
  <c r="C246" i="24"/>
  <c r="D245" i="24"/>
  <c r="C245" i="24"/>
  <c r="D244" i="24"/>
  <c r="C244" i="24"/>
  <c r="D243" i="24"/>
  <c r="C243" i="24"/>
  <c r="D242" i="24"/>
  <c r="C242" i="24"/>
  <c r="D241" i="24"/>
  <c r="C241" i="24"/>
  <c r="D240" i="24"/>
  <c r="C240" i="24"/>
  <c r="D239" i="24"/>
  <c r="C239" i="24"/>
  <c r="D238" i="24"/>
  <c r="C238" i="24"/>
  <c r="D237" i="24"/>
  <c r="C237" i="24"/>
  <c r="E232" i="24"/>
  <c r="D233" i="24" s="1"/>
  <c r="E233" i="24"/>
  <c r="E231" i="24"/>
  <c r="E230" i="24"/>
  <c r="E229" i="24"/>
  <c r="E228" i="24"/>
  <c r="E227" i="24"/>
  <c r="E226" i="24"/>
  <c r="E225" i="24"/>
  <c r="D226" i="24"/>
  <c r="E224" i="24"/>
  <c r="E223" i="24"/>
  <c r="E222" i="24"/>
  <c r="D222" i="24" s="1"/>
  <c r="C233" i="24"/>
  <c r="D232" i="24"/>
  <c r="C232" i="24"/>
  <c r="D231" i="24"/>
  <c r="C231" i="24"/>
  <c r="C230" i="24"/>
  <c r="C229" i="24"/>
  <c r="C228" i="24"/>
  <c r="C227" i="24"/>
  <c r="C226" i="24"/>
  <c r="D225" i="24"/>
  <c r="C225" i="24"/>
  <c r="D224" i="24"/>
  <c r="C224" i="24"/>
  <c r="C223" i="24"/>
  <c r="C222" i="24"/>
  <c r="D221" i="24"/>
  <c r="C221" i="24"/>
  <c r="D220" i="24"/>
  <c r="C220" i="24"/>
  <c r="D219" i="24"/>
  <c r="C219" i="24"/>
  <c r="D218" i="24"/>
  <c r="C218" i="24"/>
  <c r="D217" i="24"/>
  <c r="C217" i="24"/>
  <c r="D216" i="24"/>
  <c r="C216" i="24"/>
  <c r="D215" i="24"/>
  <c r="C215" i="24"/>
  <c r="D214" i="24"/>
  <c r="C214" i="24"/>
  <c r="D213" i="24"/>
  <c r="C213" i="24"/>
  <c r="D212" i="24"/>
  <c r="C212" i="24"/>
  <c r="E208" i="24"/>
  <c r="D208" i="24" s="1"/>
  <c r="E207" i="24"/>
  <c r="E206" i="24"/>
  <c r="E205" i="24"/>
  <c r="D205" i="24" s="1"/>
  <c r="E204" i="24"/>
  <c r="E203" i="24"/>
  <c r="E202" i="24"/>
  <c r="D203" i="24" s="1"/>
  <c r="C208" i="24"/>
  <c r="D207" i="24"/>
  <c r="C207" i="24"/>
  <c r="C206" i="24"/>
  <c r="C205" i="24"/>
  <c r="C204" i="24"/>
  <c r="C203" i="24"/>
  <c r="D202" i="24"/>
  <c r="C202" i="24"/>
  <c r="D201" i="24"/>
  <c r="C201" i="24"/>
  <c r="D200" i="24"/>
  <c r="C200" i="24"/>
  <c r="D199" i="24"/>
  <c r="C199" i="24"/>
  <c r="D198" i="24"/>
  <c r="C198" i="24"/>
  <c r="D197" i="24"/>
  <c r="C197" i="24"/>
  <c r="D196" i="24"/>
  <c r="C196" i="24"/>
  <c r="D195" i="24"/>
  <c r="C195" i="24"/>
  <c r="D194" i="24"/>
  <c r="C194" i="24"/>
  <c r="D193" i="24"/>
  <c r="C193" i="24"/>
  <c r="D192" i="24"/>
  <c r="C192" i="24"/>
  <c r="D191" i="24"/>
  <c r="C191" i="24"/>
  <c r="D190" i="24"/>
  <c r="C190" i="24"/>
  <c r="F190" i="24" s="1"/>
  <c r="D189" i="24"/>
  <c r="C189" i="24"/>
  <c r="D188" i="24"/>
  <c r="C188" i="24"/>
  <c r="D187" i="24"/>
  <c r="C187" i="24"/>
  <c r="E183" i="24"/>
  <c r="E182" i="24"/>
  <c r="E181" i="24"/>
  <c r="E180" i="24"/>
  <c r="E179" i="24"/>
  <c r="E178" i="24"/>
  <c r="E177" i="24"/>
  <c r="D177" i="24" s="1"/>
  <c r="C183" i="24"/>
  <c r="C182" i="24"/>
  <c r="C181" i="24"/>
  <c r="C180" i="24"/>
  <c r="C179" i="24"/>
  <c r="C178" i="24"/>
  <c r="C177" i="24"/>
  <c r="C176" i="24"/>
  <c r="D175" i="24"/>
  <c r="C175" i="24"/>
  <c r="C174" i="24"/>
  <c r="D173" i="24"/>
  <c r="C173" i="24"/>
  <c r="D172" i="24"/>
  <c r="C172" i="24"/>
  <c r="D171" i="24"/>
  <c r="C171" i="24"/>
  <c r="D170" i="24"/>
  <c r="C170" i="24"/>
  <c r="D169" i="24"/>
  <c r="C169" i="24"/>
  <c r="D168" i="24"/>
  <c r="C168" i="24"/>
  <c r="D167" i="24"/>
  <c r="C167" i="24"/>
  <c r="D166" i="24"/>
  <c r="C166" i="24"/>
  <c r="D165" i="24"/>
  <c r="C165" i="24"/>
  <c r="D164" i="24"/>
  <c r="C164" i="24"/>
  <c r="D163" i="24"/>
  <c r="C163" i="24"/>
  <c r="D162" i="24"/>
  <c r="C162" i="24"/>
  <c r="E158" i="24"/>
  <c r="D158" i="24"/>
  <c r="E157" i="24"/>
  <c r="E156" i="24"/>
  <c r="E155" i="24"/>
  <c r="E154" i="24"/>
  <c r="E153" i="24"/>
  <c r="E152" i="24"/>
  <c r="D153" i="24" s="1"/>
  <c r="E151" i="24"/>
  <c r="D152" i="24" s="1"/>
  <c r="E150" i="24"/>
  <c r="D150" i="24" s="1"/>
  <c r="E149" i="24"/>
  <c r="E148" i="24"/>
  <c r="D149" i="24" s="1"/>
  <c r="E147" i="24"/>
  <c r="C158" i="24"/>
  <c r="D157" i="24"/>
  <c r="C157" i="24"/>
  <c r="C156" i="24"/>
  <c r="D156" i="24"/>
  <c r="D155" i="24"/>
  <c r="C155" i="24"/>
  <c r="C154" i="24"/>
  <c r="C153" i="24"/>
  <c r="C152" i="24"/>
  <c r="D151" i="24"/>
  <c r="C151" i="24"/>
  <c r="C150" i="24"/>
  <c r="C149" i="24"/>
  <c r="C148" i="24"/>
  <c r="C147" i="24"/>
  <c r="D146" i="24"/>
  <c r="C146" i="24"/>
  <c r="D145" i="24"/>
  <c r="C145" i="24"/>
  <c r="D144" i="24"/>
  <c r="C144" i="24"/>
  <c r="D143" i="24"/>
  <c r="C143" i="24"/>
  <c r="D142" i="24"/>
  <c r="C142" i="24"/>
  <c r="D141" i="24"/>
  <c r="C141" i="24"/>
  <c r="D140" i="24"/>
  <c r="C140" i="24"/>
  <c r="D139" i="24"/>
  <c r="C139" i="24"/>
  <c r="D138" i="24"/>
  <c r="C138" i="24"/>
  <c r="D137" i="24"/>
  <c r="C137" i="24"/>
  <c r="E132" i="24"/>
  <c r="E133" i="24"/>
  <c r="E131" i="24"/>
  <c r="E130" i="24"/>
  <c r="E129" i="24"/>
  <c r="E128" i="24"/>
  <c r="E127" i="24"/>
  <c r="E126" i="24"/>
  <c r="E125" i="24"/>
  <c r="D127" i="24"/>
  <c r="E124" i="24"/>
  <c r="E123" i="24"/>
  <c r="E122" i="24"/>
  <c r="D123" i="24" s="1"/>
  <c r="E121" i="24"/>
  <c r="E120" i="24"/>
  <c r="E119" i="24"/>
  <c r="D112" i="24"/>
  <c r="C112" i="24"/>
  <c r="C113" i="24"/>
  <c r="D113" i="24"/>
  <c r="C114" i="24"/>
  <c r="D114" i="24"/>
  <c r="C115" i="24"/>
  <c r="D115" i="24"/>
  <c r="C116" i="24"/>
  <c r="D116" i="24"/>
  <c r="C117" i="24"/>
  <c r="D117" i="24"/>
  <c r="C118" i="24"/>
  <c r="D118" i="24"/>
  <c r="C133" i="24"/>
  <c r="C132" i="24"/>
  <c r="C131" i="24"/>
  <c r="C130" i="24"/>
  <c r="C129" i="24"/>
  <c r="C128" i="24"/>
  <c r="C127" i="24"/>
  <c r="C126" i="24"/>
  <c r="C125" i="24"/>
  <c r="C124" i="24"/>
  <c r="C123" i="24"/>
  <c r="D122" i="24"/>
  <c r="C122" i="24"/>
  <c r="D121" i="24"/>
  <c r="C121" i="24"/>
  <c r="D120" i="24"/>
  <c r="C120" i="24"/>
  <c r="D119" i="24"/>
  <c r="C119" i="24"/>
  <c r="E108" i="24"/>
  <c r="E107" i="24"/>
  <c r="E106" i="24"/>
  <c r="E105" i="24"/>
  <c r="E104" i="24"/>
  <c r="D104" i="24" s="1"/>
  <c r="E103" i="24"/>
  <c r="E102" i="24"/>
  <c r="E101" i="24"/>
  <c r="E100" i="24"/>
  <c r="D101" i="24" s="1"/>
  <c r="E99" i="24"/>
  <c r="D108" i="24"/>
  <c r="C108" i="24"/>
  <c r="C107" i="24"/>
  <c r="C106" i="24"/>
  <c r="C105" i="24"/>
  <c r="C104" i="24"/>
  <c r="C103" i="24"/>
  <c r="D102" i="24"/>
  <c r="C102" i="24"/>
  <c r="C101" i="24"/>
  <c r="C100" i="24"/>
  <c r="C99" i="24"/>
  <c r="D98" i="24"/>
  <c r="C98" i="24"/>
  <c r="D97" i="24"/>
  <c r="C97" i="24"/>
  <c r="D96" i="24"/>
  <c r="C96" i="24"/>
  <c r="D95" i="24"/>
  <c r="C95" i="24"/>
  <c r="D94" i="24"/>
  <c r="C94" i="24"/>
  <c r="D93" i="24"/>
  <c r="C93" i="24"/>
  <c r="E89" i="24"/>
  <c r="E88" i="24"/>
  <c r="E87" i="24"/>
  <c r="E86" i="24"/>
  <c r="E85" i="24"/>
  <c r="E84" i="24"/>
  <c r="E83" i="24"/>
  <c r="E82" i="24"/>
  <c r="D75" i="24"/>
  <c r="D74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57" i="24"/>
  <c r="D56" i="24"/>
  <c r="E55" i="24"/>
  <c r="C55" i="24"/>
  <c r="C56" i="24"/>
  <c r="C57" i="24"/>
  <c r="C58" i="24"/>
  <c r="C59" i="24"/>
  <c r="C60" i="24"/>
  <c r="C70" i="24"/>
  <c r="C69" i="24"/>
  <c r="C68" i="24"/>
  <c r="C67" i="24"/>
  <c r="C66" i="24"/>
  <c r="C65" i="24"/>
  <c r="C64" i="24"/>
  <c r="C63" i="24"/>
  <c r="C62" i="24"/>
  <c r="C61" i="24"/>
  <c r="D51" i="24"/>
  <c r="D50" i="24"/>
  <c r="D49" i="24"/>
  <c r="D48" i="24"/>
  <c r="D47" i="24"/>
  <c r="D46" i="24"/>
  <c r="D45" i="24"/>
  <c r="D44" i="24"/>
  <c r="D43" i="24"/>
  <c r="D42" i="24"/>
  <c r="E41" i="24"/>
  <c r="D41" i="24"/>
  <c r="C51" i="24"/>
  <c r="C50" i="24"/>
  <c r="C49" i="24"/>
  <c r="C48" i="24"/>
  <c r="C47" i="24"/>
  <c r="C46" i="24"/>
  <c r="C45" i="24"/>
  <c r="C44" i="24"/>
  <c r="C43" i="24"/>
  <c r="C42" i="24"/>
  <c r="C41" i="24"/>
  <c r="D28" i="24"/>
  <c r="E28" i="24" s="1"/>
  <c r="C37" i="24"/>
  <c r="C36" i="24"/>
  <c r="C35" i="24"/>
  <c r="C34" i="24"/>
  <c r="C33" i="24"/>
  <c r="C32" i="24"/>
  <c r="C31" i="24"/>
  <c r="C30" i="24"/>
  <c r="C29" i="24"/>
  <c r="C28" i="24"/>
  <c r="C27" i="24"/>
  <c r="C13" i="24"/>
  <c r="C23" i="24"/>
  <c r="C22" i="24"/>
  <c r="C21" i="24"/>
  <c r="C20" i="24"/>
  <c r="C19" i="24"/>
  <c r="C18" i="24"/>
  <c r="C17" i="24"/>
  <c r="C16" i="24"/>
  <c r="C15" i="24"/>
  <c r="D14" i="24"/>
  <c r="E14" i="24" s="1"/>
  <c r="D15" i="24" s="1"/>
  <c r="C14" i="24"/>
  <c r="D38" i="1" l="1"/>
  <c r="D39" i="1" s="1"/>
  <c r="M8" i="25"/>
  <c r="M6" i="25"/>
  <c r="L6" i="25"/>
  <c r="L7" i="25"/>
  <c r="L8" i="25"/>
  <c r="M5" i="25"/>
  <c r="L9" i="25"/>
  <c r="M7" i="25"/>
  <c r="L5" i="25"/>
  <c r="M9" i="25"/>
  <c r="C36" i="1"/>
  <c r="C37" i="1"/>
  <c r="C27" i="1" a="1"/>
  <c r="C27" i="1" s="1"/>
  <c r="C24" i="1" a="1"/>
  <c r="C24" i="1" s="1"/>
  <c r="C25" i="1" a="1"/>
  <c r="C25" i="1" s="1"/>
  <c r="F117" i="24"/>
  <c r="F142" i="24"/>
  <c r="F167" i="24"/>
  <c r="F175" i="24"/>
  <c r="F378" i="24"/>
  <c r="F272" i="24"/>
  <c r="F280" i="24"/>
  <c r="F290" i="24"/>
  <c r="F294" i="24"/>
  <c r="F298" i="24"/>
  <c r="F93" i="24"/>
  <c r="F97" i="24"/>
  <c r="F268" i="24"/>
  <c r="F243" i="24"/>
  <c r="F247" i="24"/>
  <c r="F41" i="24"/>
  <c r="C26" i="1" a="1"/>
  <c r="C26" i="1" s="1"/>
  <c r="C28" i="1" a="1"/>
  <c r="C28" i="1" s="1"/>
  <c r="C29" i="1" a="1"/>
  <c r="C29" i="1" s="1"/>
  <c r="H25" i="1" a="1"/>
  <c r="H25" i="1" s="1"/>
  <c r="H26" i="1" a="1"/>
  <c r="H26" i="1" s="1"/>
  <c r="D36" i="1"/>
  <c r="W3" i="7"/>
  <c r="D37" i="1"/>
  <c r="E37" i="1"/>
  <c r="E38" i="1"/>
  <c r="H24" i="1" a="1"/>
  <c r="H24" i="1" s="1"/>
  <c r="G38" i="1"/>
  <c r="E36" i="1"/>
  <c r="F37" i="1"/>
  <c r="H38" i="1"/>
  <c r="H39" i="1" s="1"/>
  <c r="F36" i="1"/>
  <c r="F38" i="1" s="1"/>
  <c r="F39" i="1" s="1"/>
  <c r="G37" i="1"/>
  <c r="G36" i="1"/>
  <c r="H37" i="1"/>
  <c r="H36" i="1"/>
  <c r="I37" i="1"/>
  <c r="H28" i="1" a="1"/>
  <c r="H28" i="1" s="1"/>
  <c r="I36" i="1"/>
  <c r="I38" i="1" s="1"/>
  <c r="I39" i="1" s="1"/>
  <c r="F353" i="24"/>
  <c r="F406" i="24"/>
  <c r="F409" i="24"/>
  <c r="F422" i="24"/>
  <c r="L4" i="24"/>
  <c r="F95" i="24"/>
  <c r="F127" i="24"/>
  <c r="F168" i="24"/>
  <c r="F195" i="24"/>
  <c r="F220" i="24"/>
  <c r="F237" i="24"/>
  <c r="F244" i="24"/>
  <c r="F263" i="24"/>
  <c r="F266" i="24"/>
  <c r="F269" i="24"/>
  <c r="F277" i="24"/>
  <c r="F287" i="24"/>
  <c r="F295" i="24"/>
  <c r="F323" i="24"/>
  <c r="F351" i="24"/>
  <c r="F355" i="24"/>
  <c r="F358" i="24"/>
  <c r="F379" i="24"/>
  <c r="F381" i="24"/>
  <c r="F407" i="24"/>
  <c r="F416" i="24"/>
  <c r="F452" i="24"/>
  <c r="F458" i="24"/>
  <c r="F462" i="24"/>
  <c r="F104" i="24"/>
  <c r="F56" i="24"/>
  <c r="F116" i="24"/>
  <c r="F112" i="24"/>
  <c r="F169" i="24"/>
  <c r="F192" i="24"/>
  <c r="F217" i="24"/>
  <c r="F267" i="24"/>
  <c r="F292" i="24"/>
  <c r="F304" i="24"/>
  <c r="F348" i="24"/>
  <c r="F352" i="24"/>
  <c r="F359" i="24"/>
  <c r="F363" i="24"/>
  <c r="F376" i="24"/>
  <c r="F380" i="24"/>
  <c r="F397" i="24"/>
  <c r="F424" i="24"/>
  <c r="F449" i="24"/>
  <c r="F455" i="24"/>
  <c r="F459" i="24"/>
  <c r="F437" i="24"/>
  <c r="F461" i="24"/>
  <c r="F14" i="24"/>
  <c r="F55" i="24"/>
  <c r="F141" i="24"/>
  <c r="F145" i="24"/>
  <c r="F173" i="24"/>
  <c r="F188" i="24"/>
  <c r="F196" i="24"/>
  <c r="F213" i="24"/>
  <c r="F221" i="24"/>
  <c r="F238" i="24"/>
  <c r="F241" i="24"/>
  <c r="F264" i="24"/>
  <c r="F274" i="24"/>
  <c r="F288" i="24"/>
  <c r="F296" i="24"/>
  <c r="F301" i="24"/>
  <c r="F331" i="24"/>
  <c r="F321" i="24"/>
  <c r="F314" i="24"/>
  <c r="F349" i="24"/>
  <c r="F372" i="24"/>
  <c r="F385" i="24"/>
  <c r="F404" i="24"/>
  <c r="F425" i="24"/>
  <c r="F456" i="24"/>
  <c r="F463" i="24"/>
  <c r="F466" i="24"/>
  <c r="F108" i="24"/>
  <c r="F137" i="24"/>
  <c r="F162" i="24"/>
  <c r="F207" i="24"/>
  <c r="F218" i="24"/>
  <c r="F222" i="24"/>
  <c r="F242" i="24"/>
  <c r="F246" i="24"/>
  <c r="F250" i="24"/>
  <c r="F289" i="24"/>
  <c r="F317" i="24"/>
  <c r="F356" i="24"/>
  <c r="F377" i="24"/>
  <c r="F386" i="24"/>
  <c r="F398" i="24"/>
  <c r="F401" i="24"/>
  <c r="F405" i="24"/>
  <c r="F412" i="24"/>
  <c r="F450" i="24"/>
  <c r="F13" i="24"/>
  <c r="F102" i="24"/>
  <c r="F138" i="24"/>
  <c r="F170" i="24"/>
  <c r="F189" i="24"/>
  <c r="F197" i="24"/>
  <c r="F208" i="24"/>
  <c r="F214" i="24"/>
  <c r="F239" i="24"/>
  <c r="F265" i="24"/>
  <c r="F293" i="24"/>
  <c r="F308" i="24"/>
  <c r="F320" i="24"/>
  <c r="F313" i="24"/>
  <c r="F373" i="24"/>
  <c r="F382" i="24"/>
  <c r="F402" i="24"/>
  <c r="F430" i="24"/>
  <c r="F453" i="24"/>
  <c r="F457" i="24"/>
  <c r="F467" i="24"/>
  <c r="F27" i="24"/>
  <c r="F42" i="24"/>
  <c r="F143" i="24"/>
  <c r="F163" i="24"/>
  <c r="F171" i="24"/>
  <c r="F177" i="24"/>
  <c r="F194" i="24"/>
  <c r="F202" i="24"/>
  <c r="F219" i="24"/>
  <c r="F262" i="24"/>
  <c r="F276" i="24"/>
  <c r="F303" i="24"/>
  <c r="F312" i="24"/>
  <c r="F350" i="24"/>
  <c r="F354" i="24"/>
  <c r="F374" i="24"/>
  <c r="F387" i="24"/>
  <c r="F391" i="24"/>
  <c r="F399" i="24"/>
  <c r="F403" i="24"/>
  <c r="F447" i="24"/>
  <c r="F451" i="24"/>
  <c r="F28" i="24"/>
  <c r="F94" i="24"/>
  <c r="F113" i="24"/>
  <c r="F164" i="24"/>
  <c r="F187" i="24"/>
  <c r="F191" i="24"/>
  <c r="F212" i="24"/>
  <c r="F231" i="24"/>
  <c r="F233" i="24"/>
  <c r="F248" i="24"/>
  <c r="F291" i="24"/>
  <c r="F322" i="24"/>
  <c r="F375" i="24"/>
  <c r="F393" i="24"/>
  <c r="F400" i="24"/>
  <c r="F410" i="24"/>
  <c r="F423" i="24"/>
  <c r="F427" i="24"/>
  <c r="F439" i="24"/>
  <c r="F448" i="24"/>
  <c r="F465" i="24"/>
  <c r="F443" i="24"/>
  <c r="M32" i="24"/>
  <c r="D438" i="24"/>
  <c r="D435" i="24"/>
  <c r="F435" i="24" s="1"/>
  <c r="F434" i="24"/>
  <c r="D432" i="24"/>
  <c r="F432" i="24" s="1"/>
  <c r="D431" i="24"/>
  <c r="F431" i="24" s="1"/>
  <c r="D429" i="24"/>
  <c r="F429" i="24" s="1"/>
  <c r="F428" i="24"/>
  <c r="F426" i="24"/>
  <c r="F460" i="24"/>
  <c r="F464" i="24"/>
  <c r="F468" i="24"/>
  <c r="D441" i="24"/>
  <c r="F441" i="24" s="1"/>
  <c r="F442" i="24"/>
  <c r="F440" i="24"/>
  <c r="F438" i="24"/>
  <c r="F436" i="24"/>
  <c r="F433" i="24"/>
  <c r="D418" i="24"/>
  <c r="F418" i="24" s="1"/>
  <c r="F417" i="24"/>
  <c r="F415" i="24"/>
  <c r="D414" i="24"/>
  <c r="F414" i="24" s="1"/>
  <c r="F413" i="24"/>
  <c r="F411" i="24"/>
  <c r="F408" i="24"/>
  <c r="F392" i="24"/>
  <c r="F390" i="24"/>
  <c r="D389" i="24"/>
  <c r="F389" i="24" s="1"/>
  <c r="F388" i="24"/>
  <c r="F384" i="24"/>
  <c r="F383" i="24"/>
  <c r="D367" i="24"/>
  <c r="F367" i="24"/>
  <c r="D366" i="24"/>
  <c r="F366" i="24"/>
  <c r="D365" i="24"/>
  <c r="F365" i="24"/>
  <c r="D364" i="24"/>
  <c r="F364" i="24"/>
  <c r="F362" i="24"/>
  <c r="F361" i="24"/>
  <c r="F360" i="24"/>
  <c r="F357" i="24"/>
  <c r="F368" i="24"/>
  <c r="F343" i="24"/>
  <c r="F342" i="24"/>
  <c r="F340" i="24"/>
  <c r="D338" i="24"/>
  <c r="F336" i="24"/>
  <c r="F332" i="24"/>
  <c r="D329" i="24"/>
  <c r="F329" i="24"/>
  <c r="D326" i="24"/>
  <c r="F326" i="24" s="1"/>
  <c r="F325" i="24"/>
  <c r="F319" i="24"/>
  <c r="F318" i="24"/>
  <c r="F316" i="24"/>
  <c r="F315" i="24"/>
  <c r="F328" i="24"/>
  <c r="F324" i="24"/>
  <c r="F338" i="24"/>
  <c r="F339" i="24"/>
  <c r="F333" i="24"/>
  <c r="F330" i="24"/>
  <c r="F327" i="24"/>
  <c r="F334" i="24"/>
  <c r="F341" i="24"/>
  <c r="F335" i="24"/>
  <c r="F337" i="24"/>
  <c r="D306" i="24"/>
  <c r="F306" i="24" s="1"/>
  <c r="D305" i="24"/>
  <c r="F305" i="24"/>
  <c r="F302" i="24"/>
  <c r="D299" i="24"/>
  <c r="F299" i="24" s="1"/>
  <c r="F300" i="24"/>
  <c r="F297" i="24"/>
  <c r="D307" i="24"/>
  <c r="F307" i="24" s="1"/>
  <c r="F282" i="24"/>
  <c r="D283" i="24"/>
  <c r="F279" i="24"/>
  <c r="F278" i="24"/>
  <c r="F275" i="24"/>
  <c r="F273" i="24"/>
  <c r="F271" i="24"/>
  <c r="F270" i="24"/>
  <c r="F281" i="24"/>
  <c r="F283" i="24"/>
  <c r="F257" i="24"/>
  <c r="D258" i="24"/>
  <c r="F258" i="24" s="1"/>
  <c r="D256" i="24"/>
  <c r="F255" i="24"/>
  <c r="F253" i="24"/>
  <c r="F245" i="24"/>
  <c r="F249" i="24"/>
  <c r="F251" i="24"/>
  <c r="F240" i="24"/>
  <c r="F256" i="24"/>
  <c r="F254" i="24"/>
  <c r="F252" i="24"/>
  <c r="F232" i="24"/>
  <c r="D230" i="24"/>
  <c r="F230" i="24" s="1"/>
  <c r="D229" i="24"/>
  <c r="F229" i="24" s="1"/>
  <c r="D228" i="24"/>
  <c r="F228" i="24" s="1"/>
  <c r="D227" i="24"/>
  <c r="F227" i="24" s="1"/>
  <c r="F225" i="24"/>
  <c r="F226" i="24"/>
  <c r="F224" i="24"/>
  <c r="D223" i="24"/>
  <c r="F223" i="24" s="1"/>
  <c r="F216" i="24"/>
  <c r="F215" i="24"/>
  <c r="D206" i="24"/>
  <c r="F206" i="24" s="1"/>
  <c r="F205" i="24"/>
  <c r="D204" i="24"/>
  <c r="F204" i="24" s="1"/>
  <c r="F203" i="24"/>
  <c r="F200" i="24"/>
  <c r="F201" i="24"/>
  <c r="F199" i="24"/>
  <c r="F198" i="24"/>
  <c r="F193" i="24"/>
  <c r="D183" i="24"/>
  <c r="F183" i="24" s="1"/>
  <c r="D181" i="24"/>
  <c r="F181" i="24" s="1"/>
  <c r="D179" i="24"/>
  <c r="F179" i="24" s="1"/>
  <c r="F172" i="24"/>
  <c r="F166" i="24"/>
  <c r="F165" i="24"/>
  <c r="D182" i="24"/>
  <c r="F182" i="24" s="1"/>
  <c r="D174" i="24"/>
  <c r="F174" i="24" s="1"/>
  <c r="D178" i="24"/>
  <c r="F178" i="24" s="1"/>
  <c r="D180" i="24"/>
  <c r="F180" i="24" s="1"/>
  <c r="D176" i="24"/>
  <c r="F176" i="24" s="1"/>
  <c r="F158" i="24"/>
  <c r="F157" i="24"/>
  <c r="F155" i="24"/>
  <c r="D154" i="24"/>
  <c r="F154" i="24"/>
  <c r="F153" i="24"/>
  <c r="F151" i="24"/>
  <c r="D148" i="24"/>
  <c r="F148" i="24" s="1"/>
  <c r="D147" i="24"/>
  <c r="F149" i="24"/>
  <c r="F147" i="24"/>
  <c r="F146" i="24"/>
  <c r="F144" i="24"/>
  <c r="F140" i="24"/>
  <c r="F139" i="24"/>
  <c r="F152" i="24"/>
  <c r="F156" i="24"/>
  <c r="F150" i="24"/>
  <c r="D133" i="24"/>
  <c r="F133" i="24" s="1"/>
  <c r="D131" i="24"/>
  <c r="D129" i="24"/>
  <c r="F129" i="24" s="1"/>
  <c r="D125" i="24"/>
  <c r="F125" i="24" s="1"/>
  <c r="D124" i="24"/>
  <c r="F124" i="24"/>
  <c r="F122" i="24"/>
  <c r="F120" i="24"/>
  <c r="F121" i="24"/>
  <c r="F118" i="24"/>
  <c r="F115" i="24"/>
  <c r="F114" i="24"/>
  <c r="F119" i="24"/>
  <c r="F131" i="24"/>
  <c r="F123" i="24"/>
  <c r="D132" i="24"/>
  <c r="F132" i="24" s="1"/>
  <c r="D126" i="24"/>
  <c r="F126" i="24" s="1"/>
  <c r="D128" i="24"/>
  <c r="F128" i="24" s="1"/>
  <c r="D130" i="24"/>
  <c r="F130" i="24" s="1"/>
  <c r="D106" i="24"/>
  <c r="F106" i="24" s="1"/>
  <c r="D100" i="24"/>
  <c r="F100" i="24" s="1"/>
  <c r="F101" i="24"/>
  <c r="D99" i="24"/>
  <c r="F99" i="24"/>
  <c r="F98" i="24"/>
  <c r="F96" i="24"/>
  <c r="F105" i="24"/>
  <c r="F103" i="24"/>
  <c r="D107" i="24"/>
  <c r="F107" i="24" s="1"/>
  <c r="D105" i="24"/>
  <c r="D103" i="24"/>
  <c r="F74" i="24"/>
  <c r="E56" i="24"/>
  <c r="E57" i="24" s="1"/>
  <c r="E42" i="24"/>
  <c r="D29" i="24"/>
  <c r="E29" i="24" s="1"/>
  <c r="F29" i="24"/>
  <c r="E15" i="24"/>
  <c r="D16" i="24" s="1"/>
  <c r="E16" i="24" s="1"/>
  <c r="D17" i="24" s="1"/>
  <c r="F15" i="24"/>
  <c r="N7" i="25" l="1"/>
  <c r="K7" i="25" s="1"/>
  <c r="C39" i="1"/>
  <c r="C38" i="1"/>
  <c r="N8" i="25"/>
  <c r="K8" i="25" s="1"/>
  <c r="M10" i="25"/>
  <c r="N5" i="25"/>
  <c r="K5" i="25" s="1"/>
  <c r="L10" i="25"/>
  <c r="D12" i="25" s="1"/>
  <c r="N9" i="25"/>
  <c r="K9" i="25" s="1"/>
  <c r="N6" i="25"/>
  <c r="K6" i="25" s="1"/>
  <c r="F159" i="24"/>
  <c r="L18" i="24" s="1"/>
  <c r="F344" i="24"/>
  <c r="L26" i="24" s="1"/>
  <c r="F134" i="24"/>
  <c r="L17" i="24" s="1"/>
  <c r="F109" i="24"/>
  <c r="L16" i="24" s="1"/>
  <c r="F309" i="24"/>
  <c r="L25" i="24" s="1"/>
  <c r="F469" i="24"/>
  <c r="L31" i="24" s="1"/>
  <c r="F444" i="24"/>
  <c r="L30" i="24" s="1"/>
  <c r="F419" i="24"/>
  <c r="L29" i="24" s="1"/>
  <c r="F394" i="24"/>
  <c r="L28" i="24" s="1"/>
  <c r="F369" i="24"/>
  <c r="L27" i="24" s="1"/>
  <c r="F284" i="24"/>
  <c r="L24" i="24" s="1"/>
  <c r="F259" i="24"/>
  <c r="L22" i="24" s="1"/>
  <c r="F234" i="24"/>
  <c r="L21" i="24" s="1"/>
  <c r="F209" i="24"/>
  <c r="L20" i="24" s="1"/>
  <c r="F184" i="24"/>
  <c r="L19" i="24" s="1"/>
  <c r="E58" i="24"/>
  <c r="F58" i="24"/>
  <c r="F57" i="24"/>
  <c r="F43" i="24"/>
  <c r="E43" i="24"/>
  <c r="D30" i="24"/>
  <c r="F30" i="24" s="1"/>
  <c r="E17" i="24"/>
  <c r="D18" i="24" s="1"/>
  <c r="F17" i="24"/>
  <c r="F16" i="24"/>
  <c r="N10" i="25" l="1"/>
  <c r="E59" i="24"/>
  <c r="F59" i="24"/>
  <c r="F44" i="24"/>
  <c r="E44" i="24"/>
  <c r="E30" i="24"/>
  <c r="D31" i="24" s="1"/>
  <c r="E18" i="24"/>
  <c r="D19" i="24" s="1"/>
  <c r="F18" i="24"/>
  <c r="F60" i="24" l="1"/>
  <c r="E60" i="24"/>
  <c r="F45" i="24"/>
  <c r="E45" i="24"/>
  <c r="F31" i="24"/>
  <c r="E31" i="24"/>
  <c r="E19" i="24"/>
  <c r="D20" i="24" s="1"/>
  <c r="F19" i="24"/>
  <c r="E61" i="24" l="1"/>
  <c r="F61" i="24"/>
  <c r="F46" i="24"/>
  <c r="E46" i="24"/>
  <c r="D32" i="24"/>
  <c r="F32" i="24" s="1"/>
  <c r="E20" i="24"/>
  <c r="D21" i="24" s="1"/>
  <c r="F20" i="24"/>
  <c r="E62" i="24" l="1"/>
  <c r="F62" i="24"/>
  <c r="E47" i="24"/>
  <c r="F47" i="24"/>
  <c r="E32" i="24"/>
  <c r="E21" i="24"/>
  <c r="D22" i="24" s="1"/>
  <c r="F21" i="24"/>
  <c r="E63" i="24" l="1"/>
  <c r="F63" i="24"/>
  <c r="F48" i="24"/>
  <c r="E48" i="24"/>
  <c r="D33" i="24"/>
  <c r="F33" i="24" s="1"/>
  <c r="E22" i="24"/>
  <c r="D23" i="24" s="1"/>
  <c r="F22" i="24"/>
  <c r="J5" i="23"/>
  <c r="J6" i="23"/>
  <c r="J7" i="23"/>
  <c r="J8" i="23"/>
  <c r="J9" i="23"/>
  <c r="J10" i="23"/>
  <c r="J11" i="23"/>
  <c r="J12" i="23"/>
  <c r="S12" i="23" s="1"/>
  <c r="J13" i="23"/>
  <c r="S13" i="23" s="1"/>
  <c r="Q4" i="23"/>
  <c r="Q5" i="23"/>
  <c r="Q6" i="23"/>
  <c r="Q7" i="23"/>
  <c r="Q8" i="23"/>
  <c r="Q9" i="23"/>
  <c r="Q10" i="23"/>
  <c r="Q11" i="23"/>
  <c r="Q12" i="23"/>
  <c r="Q13" i="23"/>
  <c r="S5" i="23"/>
  <c r="S6" i="23"/>
  <c r="S7" i="23"/>
  <c r="S8" i="23"/>
  <c r="S9" i="23"/>
  <c r="S10" i="23"/>
  <c r="S11" i="23"/>
  <c r="P4" i="23"/>
  <c r="J4" i="23"/>
  <c r="S4" i="23" s="1"/>
  <c r="D35" i="1"/>
  <c r="D34" i="1"/>
  <c r="E64" i="24" l="1"/>
  <c r="F64" i="24"/>
  <c r="F49" i="24"/>
  <c r="E49" i="24"/>
  <c r="E33" i="24"/>
  <c r="E23" i="24"/>
  <c r="F23" i="24"/>
  <c r="F24" i="24" s="1"/>
  <c r="L23" i="24" s="1"/>
  <c r="D17" i="23"/>
  <c r="E3" i="19"/>
  <c r="E4" i="19"/>
  <c r="E5" i="19"/>
  <c r="E6" i="19"/>
  <c r="E2" i="19"/>
  <c r="F65" i="24" l="1"/>
  <c r="E65" i="24"/>
  <c r="F50" i="24"/>
  <c r="E50" i="24"/>
  <c r="D34" i="24"/>
  <c r="F34" i="24" s="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4" i="21"/>
  <c r="Y5" i="21"/>
  <c r="Y6" i="21"/>
  <c r="Y7" i="21"/>
  <c r="Y8" i="21"/>
  <c r="Y9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4" i="21"/>
  <c r="P5" i="2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4" i="21"/>
  <c r="N5" i="21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4" i="21"/>
  <c r="E66" i="24" l="1"/>
  <c r="F66" i="24"/>
  <c r="F51" i="24"/>
  <c r="F52" i="24" s="1"/>
  <c r="L14" i="24" s="1"/>
  <c r="E51" i="24"/>
  <c r="E34" i="24"/>
  <c r="E67" i="24" l="1"/>
  <c r="F67" i="24"/>
  <c r="D35" i="24"/>
  <c r="F35" i="24" s="1"/>
  <c r="F57" i="21"/>
  <c r="AG47" i="21"/>
  <c r="H46" i="21"/>
  <c r="V31" i="21"/>
  <c r="K31" i="21"/>
  <c r="F31" i="21"/>
  <c r="Q31" i="21" s="1"/>
  <c r="V30" i="21"/>
  <c r="K30" i="21"/>
  <c r="F30" i="21"/>
  <c r="Q30" i="21" s="1"/>
  <c r="V29" i="21"/>
  <c r="K29" i="21"/>
  <c r="F29" i="21"/>
  <c r="V28" i="21"/>
  <c r="K28" i="21"/>
  <c r="F28" i="21"/>
  <c r="Q28" i="21" s="1"/>
  <c r="V27" i="21"/>
  <c r="K27" i="21"/>
  <c r="F27" i="21"/>
  <c r="Q27" i="21" s="1"/>
  <c r="V26" i="21"/>
  <c r="K26" i="21"/>
  <c r="F26" i="21"/>
  <c r="Q26" i="21" s="1"/>
  <c r="V25" i="21"/>
  <c r="K25" i="21"/>
  <c r="F25" i="21"/>
  <c r="Q25" i="21" s="1"/>
  <c r="V24" i="21"/>
  <c r="K24" i="21"/>
  <c r="F24" i="21"/>
  <c r="Q24" i="21" s="1"/>
  <c r="V23" i="21"/>
  <c r="K23" i="21"/>
  <c r="F23" i="21"/>
  <c r="Q23" i="21" s="1"/>
  <c r="V22" i="21"/>
  <c r="K22" i="21"/>
  <c r="F22" i="21"/>
  <c r="Q22" i="21" s="1"/>
  <c r="V21" i="21"/>
  <c r="K21" i="21"/>
  <c r="F21" i="21"/>
  <c r="Q21" i="21" s="1"/>
  <c r="V20" i="21"/>
  <c r="K20" i="21"/>
  <c r="F20" i="21"/>
  <c r="Q20" i="21" s="1"/>
  <c r="V19" i="21"/>
  <c r="K19" i="21"/>
  <c r="F19" i="21"/>
  <c r="Q19" i="21" s="1"/>
  <c r="V18" i="21"/>
  <c r="K18" i="21"/>
  <c r="F18" i="21"/>
  <c r="Q18" i="21" s="1"/>
  <c r="V17" i="21"/>
  <c r="K17" i="21"/>
  <c r="F17" i="21"/>
  <c r="Q17" i="21" s="1"/>
  <c r="V16" i="21"/>
  <c r="K16" i="21"/>
  <c r="F16" i="21"/>
  <c r="V15" i="21"/>
  <c r="K15" i="21"/>
  <c r="F15" i="21"/>
  <c r="V14" i="21"/>
  <c r="K14" i="21"/>
  <c r="F14" i="21"/>
  <c r="Q14" i="21" s="1"/>
  <c r="V13" i="21"/>
  <c r="K13" i="21"/>
  <c r="F13" i="21"/>
  <c r="Q13" i="21" s="1"/>
  <c r="V12" i="21"/>
  <c r="K12" i="21"/>
  <c r="F12" i="21"/>
  <c r="V11" i="21"/>
  <c r="K11" i="21"/>
  <c r="F11" i="21"/>
  <c r="Q11" i="21" s="1"/>
  <c r="V10" i="21"/>
  <c r="K10" i="21"/>
  <c r="F10" i="21"/>
  <c r="Q10" i="21" s="1"/>
  <c r="V9" i="21"/>
  <c r="K9" i="21"/>
  <c r="F9" i="21"/>
  <c r="Q9" i="21" s="1"/>
  <c r="V8" i="21"/>
  <c r="K8" i="21"/>
  <c r="F8" i="21"/>
  <c r="V7" i="21"/>
  <c r="K7" i="21"/>
  <c r="F7" i="21"/>
  <c r="V6" i="21"/>
  <c r="K6" i="21"/>
  <c r="F6" i="21"/>
  <c r="Q6" i="21" s="1"/>
  <c r="V5" i="21"/>
  <c r="K5" i="21"/>
  <c r="F5" i="21"/>
  <c r="Q5" i="21" s="1"/>
  <c r="V4" i="21"/>
  <c r="K4" i="21"/>
  <c r="F4" i="21"/>
  <c r="E68" i="24" l="1"/>
  <c r="F68" i="24"/>
  <c r="E35" i="24"/>
  <c r="W28" i="21"/>
  <c r="AG28" i="21" s="1"/>
  <c r="W25" i="21"/>
  <c r="AG25" i="21" s="1"/>
  <c r="W10" i="21"/>
  <c r="AG10" i="21" s="1"/>
  <c r="W11" i="21"/>
  <c r="AG11" i="21" s="1"/>
  <c r="W14" i="21"/>
  <c r="AD14" i="21" s="1"/>
  <c r="W9" i="21"/>
  <c r="AG9" i="21" s="1"/>
  <c r="L11" i="21"/>
  <c r="L13" i="21"/>
  <c r="L18" i="21"/>
  <c r="L27" i="21"/>
  <c r="L30" i="21"/>
  <c r="W20" i="21"/>
  <c r="AG20" i="21" s="1"/>
  <c r="W6" i="21"/>
  <c r="AH6" i="21" s="1"/>
  <c r="W21" i="21"/>
  <c r="AG21" i="21" s="1"/>
  <c r="W24" i="21"/>
  <c r="AG24" i="21" s="1"/>
  <c r="W26" i="21"/>
  <c r="AG26" i="21" s="1"/>
  <c r="W18" i="21"/>
  <c r="AD18" i="21" s="1"/>
  <c r="L19" i="21"/>
  <c r="L21" i="21"/>
  <c r="L22" i="21"/>
  <c r="AG14" i="21"/>
  <c r="AH14" i="21"/>
  <c r="L5" i="21"/>
  <c r="L6" i="21"/>
  <c r="L14" i="21"/>
  <c r="W13" i="21"/>
  <c r="AD13" i="21" s="1"/>
  <c r="W5" i="21"/>
  <c r="AD5" i="21" s="1"/>
  <c r="L17" i="21"/>
  <c r="L23" i="21"/>
  <c r="L9" i="21"/>
  <c r="L10" i="21"/>
  <c r="L31" i="21"/>
  <c r="W17" i="21"/>
  <c r="AD17" i="21" s="1"/>
  <c r="W22" i="21"/>
  <c r="AD22" i="21" s="1"/>
  <c r="Q15" i="21"/>
  <c r="W15" i="21" s="1"/>
  <c r="L15" i="21"/>
  <c r="Q16" i="21"/>
  <c r="W16" i="21" s="1"/>
  <c r="L16" i="21"/>
  <c r="L12" i="21"/>
  <c r="Q12" i="21"/>
  <c r="W12" i="21" s="1"/>
  <c r="Q4" i="21"/>
  <c r="W4" i="21" s="1"/>
  <c r="L4" i="21"/>
  <c r="Q7" i="21"/>
  <c r="W7" i="21" s="1"/>
  <c r="L7" i="21"/>
  <c r="Q8" i="21"/>
  <c r="W8" i="21" s="1"/>
  <c r="L8" i="21"/>
  <c r="L20" i="21"/>
  <c r="W23" i="21"/>
  <c r="L24" i="21"/>
  <c r="W30" i="21"/>
  <c r="AB30" i="21" s="1"/>
  <c r="L26" i="21"/>
  <c r="L28" i="21"/>
  <c r="AB28" i="21" s="1"/>
  <c r="W27" i="21"/>
  <c r="L25" i="21"/>
  <c r="L29" i="21"/>
  <c r="Q29" i="21"/>
  <c r="W29" i="21" s="1"/>
  <c r="W19" i="21"/>
  <c r="W31" i="21"/>
  <c r="F69" i="24" l="1"/>
  <c r="E69" i="24"/>
  <c r="D36" i="24"/>
  <c r="F36" i="24" s="1"/>
  <c r="AB14" i="21"/>
  <c r="AD25" i="21"/>
  <c r="AB25" i="21"/>
  <c r="AH25" i="21"/>
  <c r="AB9" i="21"/>
  <c r="AH28" i="21"/>
  <c r="AD28" i="21"/>
  <c r="AD6" i="21"/>
  <c r="AB6" i="21"/>
  <c r="AH24" i="21"/>
  <c r="AB20" i="21"/>
  <c r="AG6" i="21"/>
  <c r="AH20" i="21"/>
  <c r="AD24" i="21"/>
  <c r="AD20" i="21"/>
  <c r="AH11" i="21"/>
  <c r="AD11" i="21"/>
  <c r="AB11" i="21"/>
  <c r="AB24" i="21"/>
  <c r="AD10" i="21"/>
  <c r="AH10" i="21"/>
  <c r="AB10" i="21"/>
  <c r="AB5" i="21"/>
  <c r="AB23" i="21"/>
  <c r="AB17" i="21"/>
  <c r="AB15" i="21"/>
  <c r="AD26" i="21"/>
  <c r="AB13" i="21"/>
  <c r="AD9" i="21"/>
  <c r="AH26" i="21"/>
  <c r="AB26" i="21"/>
  <c r="AB7" i="21"/>
  <c r="AH9" i="21"/>
  <c r="AB21" i="21"/>
  <c r="AH21" i="21"/>
  <c r="AD21" i="21"/>
  <c r="AG12" i="21"/>
  <c r="AH12" i="21"/>
  <c r="AG15" i="21"/>
  <c r="AH15" i="21"/>
  <c r="AG17" i="21"/>
  <c r="AH17" i="21"/>
  <c r="AB12" i="21"/>
  <c r="AG18" i="21"/>
  <c r="AH18" i="21"/>
  <c r="AB18" i="21"/>
  <c r="AH4" i="21"/>
  <c r="AG4" i="21"/>
  <c r="AG29" i="21"/>
  <c r="AH29" i="21"/>
  <c r="AG27" i="21"/>
  <c r="AH27" i="21"/>
  <c r="AG31" i="21"/>
  <c r="AH31" i="21"/>
  <c r="AB31" i="21"/>
  <c r="AG7" i="21"/>
  <c r="AH7" i="21"/>
  <c r="AB19" i="21"/>
  <c r="AG19" i="21"/>
  <c r="AH19" i="21"/>
  <c r="AG23" i="21"/>
  <c r="AH23" i="21"/>
  <c r="AG8" i="21"/>
  <c r="AH8" i="21"/>
  <c r="AG22" i="21"/>
  <c r="AH22" i="21"/>
  <c r="AG5" i="21"/>
  <c r="AH5" i="21"/>
  <c r="AG13" i="21"/>
  <c r="AH13" i="21"/>
  <c r="AG30" i="21"/>
  <c r="AH30" i="21"/>
  <c r="AH16" i="21"/>
  <c r="AG16" i="21"/>
  <c r="AB22" i="21"/>
  <c r="AD16" i="21"/>
  <c r="AD8" i="21"/>
  <c r="AD29" i="21"/>
  <c r="AD30" i="21"/>
  <c r="AD7" i="21"/>
  <c r="AB29" i="21"/>
  <c r="AD15" i="21"/>
  <c r="AB16" i="21"/>
  <c r="AD27" i="21"/>
  <c r="E37" i="21"/>
  <c r="AB4" i="21"/>
  <c r="AD31" i="21"/>
  <c r="AD23" i="21"/>
  <c r="AD4" i="21"/>
  <c r="AB8" i="21"/>
  <c r="AD19" i="21"/>
  <c r="AB27" i="21"/>
  <c r="AD12" i="21"/>
  <c r="E70" i="24" l="1"/>
  <c r="F70" i="24"/>
  <c r="F71" i="24" s="1"/>
  <c r="L15" i="24" s="1"/>
  <c r="E36" i="24"/>
  <c r="AG40" i="21"/>
  <c r="AG49" i="21" s="1"/>
  <c r="AH40" i="21"/>
  <c r="AH49" i="21" s="1"/>
  <c r="D48" i="21"/>
  <c r="D37" i="24" l="1"/>
  <c r="F37" i="24" s="1"/>
  <c r="F38" i="24" s="1"/>
  <c r="L13" i="24" s="1"/>
  <c r="N13" i="24" s="1"/>
  <c r="C43" i="21"/>
  <c r="AC36" i="21"/>
  <c r="AC35" i="21"/>
  <c r="AC34" i="21"/>
  <c r="AC37" i="21"/>
  <c r="AC33" i="21"/>
  <c r="AC32" i="21"/>
  <c r="AC28" i="21"/>
  <c r="AC27" i="21"/>
  <c r="AC19" i="21"/>
  <c r="AC26" i="21"/>
  <c r="AC31" i="21"/>
  <c r="AC23" i="21"/>
  <c r="AC10" i="21"/>
  <c r="AC11" i="21"/>
  <c r="AC29" i="21"/>
  <c r="AC25" i="21"/>
  <c r="AC18" i="21"/>
  <c r="AC17" i="21"/>
  <c r="AC9" i="21"/>
  <c r="AC8" i="21"/>
  <c r="AC30" i="21"/>
  <c r="AC16" i="21"/>
  <c r="AC12" i="21"/>
  <c r="AC4" i="21"/>
  <c r="AC15" i="21"/>
  <c r="AC7" i="21"/>
  <c r="AC14" i="21"/>
  <c r="AC6" i="21"/>
  <c r="AC20" i="21"/>
  <c r="AC13" i="21"/>
  <c r="AC5" i="21"/>
  <c r="AC21" i="21"/>
  <c r="AC24" i="21"/>
  <c r="AC22" i="21"/>
  <c r="D43" i="21"/>
  <c r="E37" i="24" l="1"/>
  <c r="G37" i="21"/>
  <c r="H37" i="21" l="1"/>
  <c r="F37" i="21"/>
  <c r="D49" i="21" s="1"/>
  <c r="F50" i="21" s="1"/>
  <c r="F52" i="21" l="1"/>
  <c r="F54" i="21" s="1"/>
  <c r="H3" i="18" l="1"/>
  <c r="I3" i="18"/>
  <c r="H4" i="18"/>
  <c r="I4" i="18"/>
  <c r="H5" i="18"/>
  <c r="I5" i="18"/>
  <c r="H6" i="18"/>
  <c r="I6" i="18"/>
  <c r="H7" i="18"/>
  <c r="I7" i="18"/>
  <c r="H8" i="18"/>
  <c r="I8" i="18"/>
  <c r="H9" i="18"/>
  <c r="I9" i="18"/>
  <c r="H10" i="18"/>
  <c r="I10" i="18"/>
  <c r="H11" i="18"/>
  <c r="I11" i="18"/>
  <c r="H12" i="18"/>
  <c r="I12" i="18"/>
  <c r="H13" i="18"/>
  <c r="I13" i="18"/>
  <c r="H14" i="18"/>
  <c r="I14" i="18"/>
  <c r="H15" i="18"/>
  <c r="I15" i="18"/>
  <c r="H16" i="18"/>
  <c r="I16" i="18"/>
  <c r="H17" i="18"/>
  <c r="I17" i="18"/>
  <c r="H18" i="18"/>
  <c r="I18" i="18"/>
  <c r="H19" i="18"/>
  <c r="I19" i="18"/>
  <c r="H20" i="18"/>
  <c r="I20" i="18"/>
  <c r="H21" i="18"/>
  <c r="I21" i="18"/>
  <c r="H22" i="18"/>
  <c r="I22" i="18"/>
  <c r="H23" i="18"/>
  <c r="I23" i="18"/>
  <c r="H24" i="18"/>
  <c r="I24" i="18"/>
  <c r="H25" i="18"/>
  <c r="I25" i="18"/>
  <c r="H26" i="18"/>
  <c r="I26" i="18"/>
  <c r="H27" i="18"/>
  <c r="I27" i="18"/>
  <c r="H28" i="18"/>
  <c r="I28" i="18"/>
  <c r="H29" i="18"/>
  <c r="I29" i="18"/>
  <c r="H30" i="18"/>
  <c r="I30" i="18"/>
  <c r="I2" i="18"/>
  <c r="H2" i="18"/>
  <c r="I3" i="7"/>
  <c r="L6" i="19" l="1"/>
  <c r="L7" i="19"/>
  <c r="L8" i="19"/>
  <c r="L9" i="19"/>
  <c r="L10" i="19"/>
  <c r="L11" i="19"/>
  <c r="L12" i="19"/>
  <c r="L13" i="19"/>
  <c r="L5" i="19"/>
  <c r="K17" i="19" l="1"/>
  <c r="D21" i="23"/>
  <c r="D23" i="23" s="1"/>
  <c r="P13" i="23"/>
  <c r="P12" i="23"/>
  <c r="P11" i="23"/>
  <c r="P10" i="23"/>
  <c r="P9" i="23"/>
  <c r="P8" i="23"/>
  <c r="P7" i="23"/>
  <c r="P6" i="23"/>
  <c r="P5" i="23"/>
  <c r="G5" i="18"/>
  <c r="G6" i="18"/>
  <c r="G7" i="18"/>
  <c r="G8" i="18"/>
  <c r="G9" i="18"/>
  <c r="G10" i="18"/>
  <c r="G11" i="18"/>
  <c r="G12" i="18"/>
  <c r="G13" i="18"/>
  <c r="G14" i="18"/>
  <c r="G15" i="18"/>
  <c r="G16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R12" i="23" l="1"/>
  <c r="R13" i="23"/>
  <c r="R6" i="23"/>
  <c r="R7" i="23"/>
  <c r="R8" i="23"/>
  <c r="R9" i="23"/>
  <c r="R11" i="23"/>
  <c r="R10" i="23"/>
  <c r="D18" i="23" l="1"/>
  <c r="R5" i="23"/>
  <c r="R4" i="23" l="1"/>
  <c r="G2" i="18"/>
  <c r="G4" i="18" l="1"/>
  <c r="G3" i="18"/>
  <c r="D33" i="1" l="1"/>
  <c r="E39" i="1"/>
  <c r="K50" i="1"/>
  <c r="K22" i="1"/>
  <c r="U3" i="7"/>
  <c r="T3" i="7"/>
  <c r="L3" i="7"/>
  <c r="K3" i="7"/>
  <c r="J3" i="7"/>
  <c r="D3" i="7"/>
  <c r="C3" i="7"/>
  <c r="B3" i="7"/>
  <c r="A3" i="7"/>
  <c r="G39" i="1" l="1"/>
  <c r="L24" i="1" a="1"/>
  <c r="L24" i="1" s="1"/>
  <c r="L25" i="1" a="1"/>
  <c r="L25" i="1" s="1"/>
  <c r="M3" i="7"/>
  <c r="K25" i="1"/>
  <c r="F22" i="17"/>
  <c r="C9" i="1" a="1"/>
  <c r="C19" i="1" a="1"/>
  <c r="B59" i="1" l="1" a="1"/>
  <c r="B59" i="1" s="1"/>
  <c r="L22" i="1" a="1"/>
  <c r="L22" i="1" s="1"/>
  <c r="B19" i="1" a="1"/>
  <c r="B19" i="1" s="1"/>
  <c r="C22" i="1" a="1"/>
  <c r="C22" i="1" s="1"/>
  <c r="C53" i="1" a="1"/>
  <c r="C53" i="1" s="1"/>
  <c r="C30" i="1" a="1"/>
  <c r="C30" i="1" s="1"/>
  <c r="G3" i="1" a="1"/>
  <c r="G3" i="1" s="1"/>
  <c r="C23" i="1" a="1"/>
  <c r="C23" i="1" s="1"/>
  <c r="G4" i="1" a="1"/>
  <c r="G4" i="1" s="1"/>
  <c r="C19" i="1"/>
  <c r="B55" i="1" a="1"/>
  <c r="B55" i="1" s="1"/>
  <c r="D55" i="1" a="1"/>
  <c r="D55" i="1" s="1"/>
  <c r="B50" i="1" a="1"/>
  <c r="B50" i="1" s="1"/>
  <c r="C50" i="1" a="1"/>
  <c r="C50" i="1" s="1"/>
  <c r="C51" i="1" a="1"/>
  <c r="C51" i="1" s="1"/>
  <c r="C52" i="1" a="1"/>
  <c r="C52" i="1" s="1"/>
  <c r="B41" i="1" a="1"/>
  <c r="B41" i="1" s="1"/>
  <c r="F13" i="1" a="1"/>
  <c r="F13" i="1" s="1"/>
  <c r="B44" i="1" a="1"/>
  <c r="B44" i="1" s="1"/>
  <c r="B57" i="1" a="1"/>
  <c r="B57" i="1" s="1"/>
  <c r="E47" i="1" a="1"/>
  <c r="E47" i="1" s="1"/>
  <c r="B7" i="1" a="1"/>
  <c r="B7" i="1" s="1"/>
  <c r="C9" i="1"/>
  <c r="D3" i="1" a="1"/>
  <c r="D3" i="1" s="1"/>
  <c r="B22" i="1" a="1"/>
  <c r="B22" i="1" s="1"/>
  <c r="B9" i="1" a="1"/>
  <c r="B9" i="1" s="1"/>
  <c r="C44" i="1" a="1"/>
  <c r="C44" i="1" l="1"/>
  <c r="E3" i="7" l="1"/>
  <c r="F3" i="7" l="1"/>
  <c r="R3" i="7" l="1"/>
  <c r="H3" i="7"/>
  <c r="G3" i="7"/>
  <c r="F75" i="24" l="1"/>
  <c r="D79" i="24"/>
  <c r="F79" i="24" s="1"/>
  <c r="D89" i="24"/>
  <c r="F89" i="24" s="1"/>
  <c r="D88" i="24"/>
  <c r="F88" i="24" s="1"/>
  <c r="D87" i="24"/>
  <c r="F87" i="24" s="1"/>
  <c r="D86" i="24"/>
  <c r="F86" i="24" s="1"/>
  <c r="D85" i="24"/>
  <c r="F85" i="24" s="1"/>
  <c r="D84" i="24"/>
  <c r="F84" i="24" s="1"/>
  <c r="D83" i="24"/>
  <c r="F83" i="24" s="1"/>
  <c r="D82" i="24"/>
  <c r="F82" i="24" s="1"/>
  <c r="D81" i="24"/>
  <c r="F81" i="24" s="1"/>
  <c r="D80" i="24"/>
  <c r="F80" i="24" s="1"/>
  <c r="D78" i="24"/>
  <c r="F78" i="24" s="1"/>
  <c r="D77" i="24"/>
  <c r="F77" i="24" s="1"/>
  <c r="D76" i="24"/>
  <c r="F76" i="24" s="1"/>
  <c r="F90" i="24" l="1"/>
  <c r="L12" i="24" s="1"/>
  <c r="N12" i="24" s="1"/>
  <c r="N32" i="24" s="1"/>
  <c r="P3" i="7" l="1"/>
  <c r="D30" i="1"/>
  <c r="N3" i="7"/>
  <c r="D46" i="1" l="1"/>
  <c r="D47" i="1" s="1"/>
  <c r="D57" i="1" s="1"/>
  <c r="O3" i="7"/>
  <c r="Q3" i="7" l="1"/>
  <c r="F57" i="1" a="1"/>
  <c r="F57" i="1" s="1"/>
  <c r="F47" i="1" a="1"/>
  <c r="F47" i="1" s="1"/>
  <c r="S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tc={B35D7AAF-63F9-4361-ADAB-40F8994CD2EE}</author>
    <author>tc={E94A87A2-DA5B-4841-B4D5-D8D9D2A63400}</author>
  </authors>
  <commentList>
    <comment ref="J36" authorId="0" shapeId="0" xr:uid="{B35D7AAF-63F9-4361-ADAB-40F8994CD2E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Nur für Motorersatz 25 Jahre</t>
      </text>
    </comment>
    <comment ref="C38" authorId="1" shapeId="0" xr:uid="{E94A87A2-DA5B-4841-B4D5-D8D9D2A634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FU wird bei Einsparungen dazu gerechnet, da nur 15 Jahre Wirkungsdauer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tc={C8966160-2BFF-4E45-BBA7-5E49BCAB6211}</author>
  </authors>
  <commentList>
    <comment ref="N5" authorId="0" shapeId="0" xr:uid="{C8966160-2BFF-4E45-BBA7-5E49BCAB621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Einsparungen FU mit Faktor 15/25 multiplizieren, da Einsparungen Motor mit 25 Jahren angerechnet werden können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tc={8E9B42B5-E211-4C3B-9E9C-FB2575FBBDD8}</author>
    <author>tc={3B1C15FC-2D10-4FA2-865A-91AAD0EE57BF}</author>
  </authors>
  <commentList>
    <comment ref="D3" authorId="0" shapeId="0" xr:uid="{8E9B42B5-E211-4C3B-9E9C-FB2575FBBDD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Pumpen über 500W werden als "Trockenläufer" berechnet!</t>
      </text>
    </comment>
    <comment ref="G3" authorId="1" shapeId="0" xr:uid="{3B1C15FC-2D10-4FA2-865A-91AAD0EE57B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Durchschnittlicher Volumenstrom im Vergleich zum Volumenstrom bei Volllast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tc={1AB868C9-DB10-4CD0-B5DC-10EA0A9408C3}</author>
    <author>tc={D0A1D3DB-8478-45EB-9244-588A8BEFA472}</author>
    <author>tc={0712A4D4-D6B8-465C-BF78-B47DD425C514}</author>
  </authors>
  <commentList>
    <comment ref="X3" authorId="0" shapeId="0" xr:uid="{1AB868C9-DB10-4CD0-B5DC-10EA0A9408C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Wird lediglich das Leuchtmittel ersetzt, müssen zusätzliche oder integrierte Sensoren  verbaut werden.</t>
      </text>
    </comment>
    <comment ref="Z3" authorId="1" shapeId="0" xr:uid="{D0A1D3DB-8478-45EB-9244-588A8BEFA47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Wird lediglich das Leuchtmittel ersetzt, müssen zusätzliche oder integrierte Sensoren  verbaut werden.</t>
      </text>
    </comment>
    <comment ref="C46" authorId="2" shapeId="0" xr:uid="{0712A4D4-D6B8-465C-BF78-B47DD425C51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Max. 300'000 Fr. pro Liegenschaft förderbar!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tc={EEFBD245-E4FD-4328-B1BC-077F1DD1E7B3}</author>
  </authors>
  <commentList>
    <comment ref="D9" authorId="0" shapeId="0" xr:uid="{EEFBD245-E4FD-4328-B1BC-077F1DD1E7B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tendenziell tiefer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<sst xmlns="http://schemas.openxmlformats.org/spreadsheetml/2006/main" count="1003" uniqueCount="585">
  <si>
    <t>Enerprice Partners AG</t>
  </si>
  <si>
    <t>Jahre</t>
  </si>
  <si>
    <t>CHF</t>
  </si>
  <si>
    <t>Investition</t>
  </si>
  <si>
    <t>Förderbedingungen</t>
  </si>
  <si>
    <t>Adresse</t>
  </si>
  <si>
    <t>Verbrauch (kWh) 
Vorher     Nachher</t>
  </si>
  <si>
    <t>Jährliche Einsparung (kWh/Jahr)</t>
  </si>
  <si>
    <t>Förderbeitrag (CHF)</t>
  </si>
  <si>
    <t>Investition (CHF)</t>
  </si>
  <si>
    <t>Payback (Jahren)</t>
  </si>
  <si>
    <t>Telefon</t>
  </si>
  <si>
    <t>E-Mail</t>
  </si>
  <si>
    <t>Payback (x&gt;4 Jahre)</t>
  </si>
  <si>
    <t>Kontaktdaten (Endbegünstigter)</t>
  </si>
  <si>
    <t>Energieeinsparung (Strom) [kWh]</t>
  </si>
  <si>
    <t>Reservierter Förderbeitrag</t>
  </si>
  <si>
    <t>IBAN</t>
  </si>
  <si>
    <t>Kommentar zum Antrag</t>
  </si>
  <si>
    <t>Einsparung WirkungsDauer (kWh/WD)</t>
  </si>
  <si>
    <t>PLZ Ort</t>
  </si>
  <si>
    <t>Berechnung</t>
  </si>
  <si>
    <t>Messung</t>
  </si>
  <si>
    <t xml:space="preserve"> </t>
  </si>
  <si>
    <t>Sprache</t>
  </si>
  <si>
    <t>DE</t>
  </si>
  <si>
    <t>FR</t>
  </si>
  <si>
    <t>IT</t>
  </si>
  <si>
    <t>Enregistrement d'un nouveau système d'air comprimé</t>
  </si>
  <si>
    <t>Registrazione di un nuovo sistema di aria compressa</t>
  </si>
  <si>
    <t>Registration of a new compressed air system</t>
  </si>
  <si>
    <t>Contact details (final beneficiary)</t>
  </si>
  <si>
    <t>Coordonnées (bénéficiaire final)</t>
  </si>
  <si>
    <t>Dati di contatto (beneficiario finale)</t>
  </si>
  <si>
    <t>Anmeldung</t>
  </si>
  <si>
    <t>EN</t>
  </si>
  <si>
    <t>mesure</t>
  </si>
  <si>
    <t>calcul</t>
  </si>
  <si>
    <t>misurazione</t>
  </si>
  <si>
    <t>calcolo</t>
  </si>
  <si>
    <t>measurement</t>
  </si>
  <si>
    <t>calculation</t>
  </si>
  <si>
    <t>Économies d'énergie (électricité) [kWh]</t>
  </si>
  <si>
    <t>Energy saving (electricity) [kWh]</t>
  </si>
  <si>
    <t>Risparmio energetico (elettricità) [kWh]</t>
  </si>
  <si>
    <t>anni</t>
  </si>
  <si>
    <t>years</t>
  </si>
  <si>
    <t>Funding conditions</t>
  </si>
  <si>
    <t>Condizioni di finanziamento</t>
  </si>
  <si>
    <t>Conditions de financement</t>
  </si>
  <si>
    <t>Investment</t>
  </si>
  <si>
    <t>Investimento</t>
  </si>
  <si>
    <t>Investissement</t>
  </si>
  <si>
    <t>Einsparung Stromkosten pro Jahr</t>
  </si>
  <si>
    <t>Savings in electricity costs per year</t>
  </si>
  <si>
    <t>Économies de coûts d'électricité par an</t>
  </si>
  <si>
    <t>Risparmio sui costi dell'energia elettrica all'anno</t>
  </si>
  <si>
    <t>Rimborso / Payback (x&gt;4 anni)</t>
  </si>
  <si>
    <t>Payback (x&gt;4 years)</t>
  </si>
  <si>
    <t>Remboursement /Payback (x&gt;4 ans)</t>
  </si>
  <si>
    <t>Contribution financière réservée</t>
  </si>
  <si>
    <t>Contributo di finanziamento riservato</t>
  </si>
  <si>
    <t>Reserved funding contribution</t>
  </si>
  <si>
    <t>Langue</t>
  </si>
  <si>
    <t>Lingua</t>
  </si>
  <si>
    <t>Language</t>
  </si>
  <si>
    <t>Kontaktperson Nachname</t>
  </si>
  <si>
    <t>Kontaktperson Vorname</t>
  </si>
  <si>
    <t>Massnahme</t>
  </si>
  <si>
    <t>Anrede</t>
  </si>
  <si>
    <t>Herr</t>
  </si>
  <si>
    <t>Frau</t>
  </si>
  <si>
    <t>Monsieur</t>
  </si>
  <si>
    <t>Madame</t>
  </si>
  <si>
    <t>Signore</t>
  </si>
  <si>
    <t>Signora</t>
  </si>
  <si>
    <t>Mr</t>
  </si>
  <si>
    <t>Mrs</t>
  </si>
  <si>
    <t>JA</t>
  </si>
  <si>
    <t>NEIN</t>
  </si>
  <si>
    <t>OUI</t>
  </si>
  <si>
    <t>NO</t>
  </si>
  <si>
    <t>YES</t>
  </si>
  <si>
    <t>NON</t>
  </si>
  <si>
    <t>SI</t>
  </si>
  <si>
    <t>janein</t>
  </si>
  <si>
    <t>Kontaktdaten</t>
  </si>
  <si>
    <t xml:space="preserve">Adresse </t>
  </si>
  <si>
    <t>Einsparungen</t>
  </si>
  <si>
    <t>Base de calcul des économies</t>
  </si>
  <si>
    <t>Calcolo del risparmio di base</t>
  </si>
  <si>
    <t>Basis savings calculation</t>
  </si>
  <si>
    <t>sonstiges</t>
  </si>
  <si>
    <t>Spaltenzahl</t>
  </si>
  <si>
    <t>Treffen nachfolgende Punkte zu?</t>
  </si>
  <si>
    <t>Kontrolle der Anforderungen</t>
  </si>
  <si>
    <t>KontrolleAnforderungen</t>
  </si>
  <si>
    <t>Les points suivants s'appliquent-ils?</t>
  </si>
  <si>
    <t>Do the following points apply?</t>
  </si>
  <si>
    <t>Si applicano i seguenti punti?</t>
  </si>
  <si>
    <t>Contrôle des exigences</t>
  </si>
  <si>
    <t>Control of the requirements</t>
  </si>
  <si>
    <t>Controllo dei requisiti</t>
  </si>
  <si>
    <t>Kommentar</t>
  </si>
  <si>
    <t xml:space="preserve">Commentaire </t>
  </si>
  <si>
    <t>Commento</t>
  </si>
  <si>
    <t>Comment</t>
  </si>
  <si>
    <t>années</t>
  </si>
  <si>
    <t>Vermittler</t>
  </si>
  <si>
    <t>Platz 10, 6039 Root D4</t>
  </si>
  <si>
    <t>Formular einreichen/hochladen:</t>
  </si>
  <si>
    <t>Soumettre/télécharger le formulaire :</t>
  </si>
  <si>
    <t>Submit/upload form:</t>
  </si>
  <si>
    <t>Inviare/caricare il modulo:</t>
  </si>
  <si>
    <t>Intermediario (opzionale)</t>
  </si>
  <si>
    <t>Vermittler (optional)</t>
  </si>
  <si>
    <t>Intermediary (optional)</t>
  </si>
  <si>
    <t>Intermédiaire (facultatif)</t>
  </si>
  <si>
    <t>Hinweise</t>
  </si>
  <si>
    <t>Die Investition ist zu hoch, kontaktieren Sie uns</t>
  </si>
  <si>
    <t>Der Payback ist zu tief, keine Förderung</t>
  </si>
  <si>
    <t>Bitte Anforderungen bestätigen</t>
  </si>
  <si>
    <t>Le retour sur investissement est trop faible, pas de promotion</t>
  </si>
  <si>
    <t>The payback is too low, no promotion</t>
  </si>
  <si>
    <t>Il ritorno è troppo basso, nessuna promozione</t>
  </si>
  <si>
    <t>L'investimento è troppo alto, contattaci</t>
  </si>
  <si>
    <t>The investment is too high, contact us</t>
  </si>
  <si>
    <t>L'investissement est trop élevé, contactez-nous</t>
  </si>
  <si>
    <t>Veuillez confirmer vos besoins</t>
  </si>
  <si>
    <t>Please confirm requirements</t>
  </si>
  <si>
    <t>select</t>
  </si>
  <si>
    <t>Förder- bedingungen</t>
  </si>
  <si>
    <t>Eingabe</t>
  </si>
  <si>
    <t>Dropdown</t>
  </si>
  <si>
    <t>Input</t>
  </si>
  <si>
    <t>- Für diese Massnahme besteht keine Verpflichtung, z.B. in Zielvereinbarung ZV (EnAW, ACT)</t>
  </si>
  <si>
    <t>- There is no obligation for this measure, e.g. target agreement (EnAW, ACT)</t>
  </si>
  <si>
    <t>-Non c'è nessun obbligo per questa misura, p.e. in un accordo obiettivo (EnAW, ACT)</t>
  </si>
  <si>
    <t>- Il n'y a pas d'obligation pour cette mesure, p.e. dans une convention d'objectifs (AEnEC, ACT)</t>
  </si>
  <si>
    <t xml:space="preserve">- Es werden keine anderen Förderungen für die Massnahme beansprucht </t>
  </si>
  <si>
    <t>- Aucune autre subvention n'est demandée pour cette mesure</t>
  </si>
  <si>
    <t xml:space="preserve">- Non sono richiesti altri sussidi per la misura </t>
  </si>
  <si>
    <t xml:space="preserve">- No other subsidies are claimed for the measure </t>
  </si>
  <si>
    <t>- Die Investition ist zum Zeitpunkt der Antragstellung noch nicht bestellt</t>
  </si>
  <si>
    <t xml:space="preserve">- L'investimento non è ancora stato ordinato al momento della domanda </t>
  </si>
  <si>
    <t>- L'investissement n'a pas encore été commandé au moment de la demande</t>
  </si>
  <si>
    <t>- The investment has not yet been ordered at the time of application</t>
  </si>
  <si>
    <t>max. subsidy (30% of the investment)</t>
  </si>
  <si>
    <t>Optionales Angebot:</t>
  </si>
  <si>
    <t>Offerta opzionale:</t>
  </si>
  <si>
    <t>Offre facultative :</t>
  </si>
  <si>
    <t>Optional offer:</t>
  </si>
  <si>
    <t>Vorname</t>
  </si>
  <si>
    <t>prénom</t>
  </si>
  <si>
    <t>first name</t>
  </si>
  <si>
    <t>nome</t>
  </si>
  <si>
    <t>Name</t>
  </si>
  <si>
    <t>Nom</t>
  </si>
  <si>
    <t>Nome</t>
  </si>
  <si>
    <t>Datum</t>
  </si>
  <si>
    <t>Data</t>
  </si>
  <si>
    <t>Date</t>
  </si>
  <si>
    <t>Address</t>
  </si>
  <si>
    <t>L'indirizzo</t>
  </si>
  <si>
    <t>Code postal Ville</t>
  </si>
  <si>
    <t>Codice postale Città</t>
  </si>
  <si>
    <t>Postcode City</t>
  </si>
  <si>
    <t>Salutation</t>
  </si>
  <si>
    <t>Saluto</t>
  </si>
  <si>
    <t>Kontaktperson Name</t>
  </si>
  <si>
    <t>Nome della persona di contatto</t>
  </si>
  <si>
    <t>Contact person name</t>
  </si>
  <si>
    <t>Nom de la personne de contact</t>
  </si>
  <si>
    <t>Téléphone</t>
  </si>
  <si>
    <t>Telefono</t>
  </si>
  <si>
    <t>Phone</t>
  </si>
  <si>
    <t>Email</t>
  </si>
  <si>
    <t>Courrier électronique</t>
  </si>
  <si>
    <t>IBAN (Banknummer)</t>
  </si>
  <si>
    <t>IBAN (numero della banca)</t>
  </si>
  <si>
    <t>IBAN (bank number)</t>
  </si>
  <si>
    <t>IBAN (numéro de banque)</t>
  </si>
  <si>
    <t>Mesure</t>
  </si>
  <si>
    <t>Misura</t>
  </si>
  <si>
    <t>Measure</t>
  </si>
  <si>
    <t>Jahresverbrauch vorher [kWh]</t>
  </si>
  <si>
    <t>Consommation annuelle avant [kWh]</t>
  </si>
  <si>
    <t>Consumo annuo prima di [kWh]</t>
  </si>
  <si>
    <t>Consumo annuo dopo [kWh]</t>
  </si>
  <si>
    <t>Annual consumption before [kWh]</t>
  </si>
  <si>
    <t>Annual consumption after [kWh]</t>
  </si>
  <si>
    <t>Jahresverbrauch nachher [kWh]</t>
  </si>
  <si>
    <t>Consommation annuelle après [kWh]</t>
  </si>
  <si>
    <t>Firma</t>
  </si>
  <si>
    <t>Vermittler Name</t>
  </si>
  <si>
    <t>Vermittler Email</t>
  </si>
  <si>
    <t>Schätzungen aufgrund Leistung</t>
  </si>
  <si>
    <t>Eestimations basées sur les performances</t>
  </si>
  <si>
    <t>stime basate sulla performance</t>
  </si>
  <si>
    <t>estimates based on performance</t>
  </si>
  <si>
    <t>Société</t>
  </si>
  <si>
    <t>Compagnia</t>
  </si>
  <si>
    <t>Company</t>
  </si>
  <si>
    <t>Leistung grösser als 15 kW!</t>
  </si>
  <si>
    <t>Leistung kleiner 5 kW!</t>
  </si>
  <si>
    <t>Puissance supérieure à 15 kW!</t>
  </si>
  <si>
    <t>Power greater than 15 kW!</t>
  </si>
  <si>
    <t>Potenza superiore a 15 kW!</t>
  </si>
  <si>
    <t>Potenza inferiore a 5 kW!</t>
  </si>
  <si>
    <t>Une puissance inférieure à 5 kW !</t>
  </si>
  <si>
    <t>Power less than 5 kW!</t>
  </si>
  <si>
    <t>Anzahl Arbeitsschichten zu hoch!</t>
  </si>
  <si>
    <t>Number of working shifts too high!</t>
  </si>
  <si>
    <t>Le nombre d'équipes de travail est trop élevé!</t>
  </si>
  <si>
    <t>Numero di turni di lavoro troppo alto!</t>
  </si>
  <si>
    <t>Formular und Simulation einreichen/hochladen:</t>
  </si>
  <si>
    <t>Formular und nachvollziehbare Berechnung einreichen/hochladen:</t>
  </si>
  <si>
    <t>Formulaire de soumission/téléchargement et calcul compréhensible:</t>
  </si>
  <si>
    <t>Submit/upload form and comprehensible calculation:</t>
  </si>
  <si>
    <t>Invia/carica modulo e calcolo comprensibile:</t>
  </si>
  <si>
    <t>Soumettre/télécharger le formulaire et la simulation:</t>
  </si>
  <si>
    <t>Submit/upload form and simulation:</t>
  </si>
  <si>
    <t>Invia/carica il modulo e la simulazione:</t>
  </si>
  <si>
    <t>Formular einreichen</t>
  </si>
  <si>
    <t>Einsparberechnung basiert auf:</t>
  </si>
  <si>
    <t>Bitte Berechnung miteinreichen</t>
  </si>
  <si>
    <t>Bitte Messung und Simulation miteinreichen</t>
  </si>
  <si>
    <t>Bitte Art der Einsparermittlung auswählen</t>
  </si>
  <si>
    <t>Veuillez sélectionner le type de calcul d'économies</t>
  </si>
  <si>
    <t>Please select the type of savings calculation</t>
  </si>
  <si>
    <t>Selezionare il tipo di calcolo del risparmio</t>
  </si>
  <si>
    <t>Si prega di presentare la misurazione e la simulazione</t>
  </si>
  <si>
    <t>Veuillez inclure la mesure et la simulation</t>
  </si>
  <si>
    <t>Please submit measurement and simulation</t>
  </si>
  <si>
    <t>Please submit your calculation sheet</t>
  </si>
  <si>
    <t>Presentate il vostro foglio di calcolo</t>
  </si>
  <si>
    <t>Veuillez soumettre votre feuille de calcul</t>
  </si>
  <si>
    <t>Anmeldung einer Massnahme</t>
  </si>
  <si>
    <t>Ersatz Elektromotor / Antrieb</t>
  </si>
  <si>
    <t>Ersetzen Kompressor</t>
  </si>
  <si>
    <t>Frequenzumrichter installieren</t>
  </si>
  <si>
    <t>Ersetzen Leuchtmittel</t>
  </si>
  <si>
    <t>Anzahl</t>
  </si>
  <si>
    <t>Effizienzklasse alt</t>
  </si>
  <si>
    <t>Effizienzklasse neu</t>
  </si>
  <si>
    <t>Ventilator ersetzen</t>
  </si>
  <si>
    <t>Pumpe ersetzen</t>
  </si>
  <si>
    <t>Raumnutzung</t>
  </si>
  <si>
    <t>Nennleistung</t>
  </si>
  <si>
    <t>IE0</t>
  </si>
  <si>
    <t>IE1</t>
  </si>
  <si>
    <t>IE2</t>
  </si>
  <si>
    <t>IE3</t>
  </si>
  <si>
    <t>IE4</t>
  </si>
  <si>
    <t>Ersatz Motor</t>
  </si>
  <si>
    <t>Leistung</t>
  </si>
  <si>
    <t>Wählen</t>
  </si>
  <si>
    <t>Parkhaus</t>
  </si>
  <si>
    <t>Restaurant</t>
  </si>
  <si>
    <t>Volllast-stunden (h/a)</t>
  </si>
  <si>
    <t>ProKilowatt-Höchstwert für den spezifischen Elektrizitätsbedarf der Neuanlage (kWh/m2)</t>
  </si>
  <si>
    <t>Faktor Präsenzmelder</t>
  </si>
  <si>
    <t>Faktor Tageslichtregelung</t>
  </si>
  <si>
    <t>Faktor gesamt</t>
  </si>
  <si>
    <t>(Vorgabe ProKilowatt Programmbedingungen Kap. 4.6 )</t>
  </si>
  <si>
    <t>wählen</t>
  </si>
  <si>
    <t>Hotelzimmer</t>
  </si>
  <si>
    <t>Empfang, Lobby</t>
  </si>
  <si>
    <t>Einzel-, Gruppenbüro</t>
  </si>
  <si>
    <t>Grossraumbüro</t>
  </si>
  <si>
    <t>Sitzungszimmer</t>
  </si>
  <si>
    <t>Schalterhalle, Empfang</t>
  </si>
  <si>
    <t>Schulzimmer</t>
  </si>
  <si>
    <t>Lehrerzimmer</t>
  </si>
  <si>
    <t>Bibliothek</t>
  </si>
  <si>
    <t>Hörsaal</t>
  </si>
  <si>
    <t>Schulfachraum</t>
  </si>
  <si>
    <t>Lebensmittelverkauf</t>
  </si>
  <si>
    <t>Fachgeschäft</t>
  </si>
  <si>
    <t>Verkauf Möbel, Bau, Garten</t>
  </si>
  <si>
    <t>Selbstbedienungsrestaurant</t>
  </si>
  <si>
    <t>Küche zu Restaurant</t>
  </si>
  <si>
    <t>Küche zu Selbstbedienungsrestaurant</t>
  </si>
  <si>
    <t>Vorstellungsraum</t>
  </si>
  <si>
    <t>Mehrzweckhalle</t>
  </si>
  <si>
    <t>Ausstellungshalle</t>
  </si>
  <si>
    <t>Bettenzimmer</t>
  </si>
  <si>
    <t>Stationszimmer</t>
  </si>
  <si>
    <t>Behandlungsraum</t>
  </si>
  <si>
    <t>Produktion (grobe Arbeit)</t>
  </si>
  <si>
    <t>Produktion (feine Arbeit)</t>
  </si>
  <si>
    <t>Laborraum</t>
  </si>
  <si>
    <t>Lagerhalle</t>
  </si>
  <si>
    <t>Turnhalle</t>
  </si>
  <si>
    <t>Fitnessraum</t>
  </si>
  <si>
    <t>Schwimmhalle</t>
  </si>
  <si>
    <t>Verkehrsfläche</t>
  </si>
  <si>
    <t>Verkehrsfläche 24h (Spitäler)</t>
  </si>
  <si>
    <t>Treppenhaus</t>
  </si>
  <si>
    <t>Nebenraum</t>
  </si>
  <si>
    <t>Küche, Teeküche</t>
  </si>
  <si>
    <t>WC, Bad, Dusche</t>
  </si>
  <si>
    <t>WC</t>
  </si>
  <si>
    <t>Garderoben, Duschen</t>
  </si>
  <si>
    <t>Wasch- und Trockenraum</t>
  </si>
  <si>
    <t>Kühlraum</t>
  </si>
  <si>
    <t>Serverraum</t>
  </si>
  <si>
    <t>Allgemeine Angaben</t>
  </si>
  <si>
    <t>Alte bestehende Beleuchtung</t>
  </si>
  <si>
    <t>Neue geplante Beleuchtung</t>
  </si>
  <si>
    <t>Jährlicher Stromverbr.</t>
  </si>
  <si>
    <t>Zulässiger Verbr.</t>
  </si>
  <si>
    <t/>
  </si>
  <si>
    <t>Raum/ Bezeichnung</t>
  </si>
  <si>
    <r>
      <t xml:space="preserve">Raumnutzung - </t>
    </r>
    <r>
      <rPr>
        <i/>
        <sz val="10"/>
        <color theme="1"/>
        <rFont val="Calibri"/>
        <family val="2"/>
        <scheme val="minor"/>
      </rPr>
      <t>wählen aus Liste (Dropdown)</t>
    </r>
  </si>
  <si>
    <t>Fläche Raum / Geschoss (m2)</t>
  </si>
  <si>
    <r>
      <t xml:space="preserve">Volllaststunden (h/a)
</t>
    </r>
    <r>
      <rPr>
        <i/>
        <sz val="10"/>
        <color rgb="FFFF0000"/>
        <rFont val="Calibri"/>
        <family val="2"/>
        <scheme val="minor"/>
      </rPr>
      <t>(Vorgabe Pro-Kilowatt)</t>
    </r>
  </si>
  <si>
    <t>Volllaststunden (h/a)</t>
  </si>
  <si>
    <t>Begründung erforderlich falls Volllaststunden abweichen</t>
  </si>
  <si>
    <t>Leuchten-typ</t>
  </si>
  <si>
    <t>Anzahl Leuchten</t>
  </si>
  <si>
    <t>Leistung pro Leuchte (W)</t>
  </si>
  <si>
    <t>Installierte Leistung (kW)</t>
  </si>
  <si>
    <t>Jährlicher Strom-verbrauch (kWh)</t>
  </si>
  <si>
    <r>
      <t xml:space="preserve">Präsenz-meldung bestehend </t>
    </r>
    <r>
      <rPr>
        <i/>
        <sz val="10"/>
        <color theme="1"/>
        <rFont val="Calibri"/>
        <family val="2"/>
        <scheme val="minor"/>
      </rPr>
      <t>(Drop-down)</t>
    </r>
  </si>
  <si>
    <r>
      <t xml:space="preserve">Tageslicht-regelung bestehend </t>
    </r>
    <r>
      <rPr>
        <i/>
        <sz val="10"/>
        <color theme="1"/>
        <rFont val="Calibri"/>
        <family val="2"/>
        <scheme val="minor"/>
      </rPr>
      <t>(Drop-down)</t>
    </r>
  </si>
  <si>
    <t>Jährlicher Stromverbrauch (kWh)</t>
  </si>
  <si>
    <r>
      <t xml:space="preserve">Präsenz-meldung neu </t>
    </r>
    <r>
      <rPr>
        <i/>
        <sz val="10"/>
        <color theme="1"/>
        <rFont val="Calibri"/>
        <family val="2"/>
        <scheme val="minor"/>
      </rPr>
      <t>(Drop-down)</t>
    </r>
  </si>
  <si>
    <r>
      <t xml:space="preserve">Tageslicht-regelung neu </t>
    </r>
    <r>
      <rPr>
        <i/>
        <sz val="10"/>
        <color theme="1"/>
        <rFont val="Calibri"/>
        <family val="2"/>
        <scheme val="minor"/>
      </rPr>
      <t>(Drop-down)</t>
    </r>
  </si>
  <si>
    <t>Jährliche Einsparung (kWh)</t>
  </si>
  <si>
    <t xml:space="preserve">Jährliche Einsparung Verbrauch (kWh)   </t>
  </si>
  <si>
    <r>
      <t xml:space="preserve">Spezifischer Elektrizitätsbedarf (kWh/m2) </t>
    </r>
    <r>
      <rPr>
        <sz val="10"/>
        <color rgb="FFFF0000"/>
        <rFont val="Calibri"/>
        <family val="2"/>
        <scheme val="minor"/>
      </rPr>
      <t>(Vorgabe ProKilowatt)</t>
    </r>
  </si>
  <si>
    <t>ProKilowatt-Höchstwert spezifischer Elektrizitäts-bedarf (kWh/m2)</t>
  </si>
  <si>
    <t>Nein</t>
  </si>
  <si>
    <t>Zusammenfassung</t>
  </si>
  <si>
    <t>Netto-geschossfläche (m2)</t>
  </si>
  <si>
    <t xml:space="preserve">Spezifischer Elektrizitätsbedarf (kWh/m2) </t>
  </si>
  <si>
    <t>ProKilowatt-Höchstwert für den spezifischen Elektrizitätsbedarf (kWh/m2)</t>
  </si>
  <si>
    <t>Jährlicher Stromverbrauch vorher (kWh)</t>
  </si>
  <si>
    <t>Jährlicher Stromverbrauch nachher (kWh)</t>
  </si>
  <si>
    <t>Anrechenbare Einsparung (kWh) über 15 Jahre, inkl. Faktor 0.75</t>
  </si>
  <si>
    <t>Bitte verwenden Sie das Blatt "Ersetzen Leuchtmittel" für die Berechnung der Einsparungen</t>
  </si>
  <si>
    <t>Ausbelnden</t>
  </si>
  <si>
    <t>Nötig? - Ausbelnden</t>
  </si>
  <si>
    <t>Alte bestehende Pumpen</t>
  </si>
  <si>
    <t>Neue Pumpen</t>
  </si>
  <si>
    <t>Strang / Gruppe / Anlage</t>
  </si>
  <si>
    <t>Betriebsstunden (h/a)</t>
  </si>
  <si>
    <t>Pumpentyp - wählen aus Liste (Dropdown)</t>
  </si>
  <si>
    <t xml:space="preserve">Anzahl </t>
  </si>
  <si>
    <t>Leistung Pumpe Alt  (W)</t>
  </si>
  <si>
    <t>Pumpen-typ</t>
  </si>
  <si>
    <r>
      <t xml:space="preserve">EEI </t>
    </r>
    <r>
      <rPr>
        <sz val="8"/>
        <color theme="1"/>
        <rFont val="Calibri"/>
        <family val="2"/>
      </rPr>
      <t>≤</t>
    </r>
    <r>
      <rPr>
        <sz val="8"/>
        <color theme="1"/>
        <rFont val="Calibri"/>
        <family val="2"/>
        <scheme val="minor"/>
      </rPr>
      <t xml:space="preserve"> 0.2 /
MEI ≥ 0.5</t>
    </r>
  </si>
  <si>
    <t>Leistung Pumpe neu  (W)</t>
  </si>
  <si>
    <t>Kriterium Mindest-effizienz</t>
  </si>
  <si>
    <t>Jährlicher Stromverbrauch neu (kWh)</t>
  </si>
  <si>
    <t>Jährliche Einsparungch (kWh)</t>
  </si>
  <si>
    <t>Förderbeitrag</t>
  </si>
  <si>
    <t>Jahresstrombedarf vorher [kWh/Jahr]</t>
  </si>
  <si>
    <t>Jahresstrombedarf nachher [kWh/Jahr]</t>
  </si>
  <si>
    <t>Bitte verwenden Sie das Blatt "Ersetzen Pumpen" für die Berechnung der Einsparungen</t>
  </si>
  <si>
    <t>SIA 382/1:2007</t>
  </si>
  <si>
    <t>Nennluftvolumentstrom</t>
  </si>
  <si>
    <t>Grenzwert</t>
  </si>
  <si>
    <t>Zielwert</t>
  </si>
  <si>
    <t>Faktor</t>
  </si>
  <si>
    <t>Optimierungsfaktor</t>
  </si>
  <si>
    <t>Volumenstrom je Stück [m3/h]</t>
  </si>
  <si>
    <t>Strombedarf vorher</t>
  </si>
  <si>
    <t>Strombedarf nachher</t>
  </si>
  <si>
    <t>FU installieren</t>
  </si>
  <si>
    <t>ProKIBE2</t>
  </si>
  <si>
    <t>bestehend</t>
  </si>
  <si>
    <t>neu</t>
  </si>
  <si>
    <t>Spezifischer Elektrizitäts-bedarf 
(Vorgabe ProKilowatt)</t>
  </si>
  <si>
    <t>Durchschnittlich über alle Flächen erfüllt</t>
  </si>
  <si>
    <t>Nutzungsdauer gemäss ProKilowatt Vorgabe</t>
  </si>
  <si>
    <t>Investitionskosten total</t>
  </si>
  <si>
    <t>Summe Flächen</t>
  </si>
  <si>
    <t>durchschnittlicher Verbr.</t>
  </si>
  <si>
    <t>Zulässiger durchschnittl. Verbr.</t>
  </si>
  <si>
    <t>Anrechenbare Einsparung für effiziente Beleuchtung:</t>
  </si>
  <si>
    <t>Kürzungsfaktor Prokilowatt</t>
  </si>
  <si>
    <t>Anrechenbare Einsparung Total 15 Jahre (Strom)</t>
  </si>
  <si>
    <t>Förderbeitrag pro eingesparte kWh</t>
  </si>
  <si>
    <t>Möglicher Förderbeitrag</t>
  </si>
  <si>
    <t>max. Förderanteil an Investition</t>
  </si>
  <si>
    <t>max. geförderte Investition</t>
  </si>
  <si>
    <t>Strombedarf vorher [kWh/Jahr]:</t>
  </si>
  <si>
    <t>Strombedarf nachher [kWh/Jahr]:</t>
  </si>
  <si>
    <t>Leistung neuer Motor [kW]</t>
  </si>
  <si>
    <t>Leistung alter Motor [kW]</t>
  </si>
  <si>
    <t>Zusätzliche Reduktion Betriebsstunden durch FU (optional) (%)</t>
  </si>
  <si>
    <t>Massnahmen</t>
  </si>
  <si>
    <t>Flachriemen</t>
  </si>
  <si>
    <t>Keilreimen</t>
  </si>
  <si>
    <t>Direktantrieb</t>
  </si>
  <si>
    <t>Transmission</t>
  </si>
  <si>
    <t>Ventilator</t>
  </si>
  <si>
    <t>Axial</t>
  </si>
  <si>
    <t>Leistung Ventilator [kW]</t>
  </si>
  <si>
    <t>Jährliche Betriebsstunden</t>
  </si>
  <si>
    <t>Volllaststunden (Betriebsstunden x Auslastung)</t>
  </si>
  <si>
    <t>Nutzungsdauer</t>
  </si>
  <si>
    <t>Baujahr bestehende Anlage</t>
  </si>
  <si>
    <t>Zusätzliche Reduktion Volumenstrom durch FU (optional) (%)</t>
  </si>
  <si>
    <t>prokibe@enerprice-partners.ch</t>
  </si>
  <si>
    <t>Nombre</t>
  </si>
  <si>
    <t>Numero</t>
  </si>
  <si>
    <t>Number</t>
  </si>
  <si>
    <t>Old efficiency class</t>
  </si>
  <si>
    <t>Ancienne classe d'efficacité</t>
  </si>
  <si>
    <t>Classe di efficienza vecchia</t>
  </si>
  <si>
    <t>Classe di efficienza nuova</t>
  </si>
  <si>
    <t>New efficiency class</t>
  </si>
  <si>
    <t>Nouvelle classe d'efficacité</t>
  </si>
  <si>
    <t>heures de fonctionnement annuel</t>
  </si>
  <si>
    <t>ore di funzionamento annuali</t>
  </si>
  <si>
    <t>Annual operating hours</t>
  </si>
  <si>
    <t>Volume flow per piece [m3/h]</t>
  </si>
  <si>
    <t>Portata in volume per unità [m3/h]</t>
  </si>
  <si>
    <t>Débit d'air par pièce [m3/h]</t>
  </si>
  <si>
    <t>Puissance ancien moteur [kW]</t>
  </si>
  <si>
    <t>Potenza del vecchio motore [kW]</t>
  </si>
  <si>
    <t>Old engine power [kW]</t>
  </si>
  <si>
    <t>Full load hours (operating hours x utilization)</t>
  </si>
  <si>
    <t>Heures de pleine charge (heures de fonctionnement x charge)</t>
  </si>
  <si>
    <t>Ore a pieno carico (ore di funzionamento x utilizzo)</t>
  </si>
  <si>
    <t>Year of construction existing plant</t>
  </si>
  <si>
    <t>Année de construction de l'installation existante</t>
  </si>
  <si>
    <t>Anno di costruzione dell'impianto esistente</t>
  </si>
  <si>
    <t>Potenza nuovo motore [kW]</t>
  </si>
  <si>
    <t>Puissance du nouveau moteur [kW]</t>
  </si>
  <si>
    <t>Power of new engine [kW]</t>
  </si>
  <si>
    <t>Fan power [kW]</t>
  </si>
  <si>
    <t>Puissance du ventilateur [kW]</t>
  </si>
  <si>
    <t>Réduction supplémentaire des heures de fonctionnement grâce au variateur (en option) (%)</t>
  </si>
  <si>
    <t>Riduzione aggiuntiva delle ore di funzionamento da parte di FI (opzionale) (%)</t>
  </si>
  <si>
    <t>Additional reduction in operating hours due to FI (optional) (%)</t>
  </si>
  <si>
    <t>Réduction supplémentaire du débit par le variateur (en option) (%)</t>
  </si>
  <si>
    <t>Riduzione aggiuntiva del flusso volumetrico da parte di FI (opzionale) (%)</t>
  </si>
  <si>
    <t>Additional reduction of volume flow by FI (optional) (%)</t>
  </si>
  <si>
    <t>Please use the "Replace pumps" sheet to calculate the savings</t>
  </si>
  <si>
    <t>Veuillez utiliser la feuille "Remplacer les pompes" pour calculer les économies réalisées.</t>
  </si>
  <si>
    <t>Utilizzare il foglio "Sostituzione delle pompe" per calcolare i risparmi.</t>
  </si>
  <si>
    <t>Utilizzare il foglio "Sostituzione dell'illuminante" per calcolare il risparmio.</t>
  </si>
  <si>
    <t>Veuillez utiliser la feuille "Remplacer les ampoules" pour calculer les économies réalisées.</t>
  </si>
  <si>
    <t>Please use the "Replace illuminant" sheet to calculate the savings</t>
  </si>
  <si>
    <t>Measures</t>
  </si>
  <si>
    <t>Mesures</t>
  </si>
  <si>
    <t>Misure</t>
  </si>
  <si>
    <t>Motore elettrico / azionamento di ricambio</t>
  </si>
  <si>
    <t>Remplacement du moteur électrique / de l'entraînement</t>
  </si>
  <si>
    <t>Replacement electric motor / drive</t>
  </si>
  <si>
    <t>Replace fan</t>
  </si>
  <si>
    <t>Sostituire la ventola</t>
  </si>
  <si>
    <t>Remplacer le ventilateur</t>
  </si>
  <si>
    <t>Remplacer la pompe</t>
  </si>
  <si>
    <t>Sostituire la pompa</t>
  </si>
  <si>
    <t>Replace pump</t>
  </si>
  <si>
    <t>Replace illuminant</t>
  </si>
  <si>
    <t>Remplacer les ampoules</t>
  </si>
  <si>
    <t>Sostituire la lampadina</t>
  </si>
  <si>
    <t>Sostituire il compressore</t>
  </si>
  <si>
    <t>Remplacer le compresseur</t>
  </si>
  <si>
    <t>Replace compressor</t>
  </si>
  <si>
    <t>Install frequency inverter</t>
  </si>
  <si>
    <t>Installer un convertisseur de fréquence</t>
  </si>
  <si>
    <t>Installare il convertitore di frequenza</t>
  </si>
  <si>
    <t>Zusätzliche Reduktion Volumenstrom durch FU (%)</t>
  </si>
  <si>
    <t>Bestehende Regelung</t>
  </si>
  <si>
    <t>Gesamtwirkungsgrad</t>
  </si>
  <si>
    <t>Regeung</t>
  </si>
  <si>
    <t>Stufenschaltung</t>
  </si>
  <si>
    <t>Drosselschaltung</t>
  </si>
  <si>
    <t>Einstufig/ungeregelt</t>
  </si>
  <si>
    <t>Regelung bisher</t>
  </si>
  <si>
    <t>Bestehender Volumenstrom bisher (%)</t>
  </si>
  <si>
    <t>Volumenstrom bisher</t>
  </si>
  <si>
    <t>Existing volume flow so far (%)</t>
  </si>
  <si>
    <t>Débit existant jusqu'à présent (%)</t>
  </si>
  <si>
    <t>Flusso volumetrico esistente finora (%)</t>
  </si>
  <si>
    <t>Fördersatz</t>
  </si>
  <si>
    <t>max. Förderbeitrag</t>
  </si>
  <si>
    <t>Part maximale de subvention</t>
  </si>
  <si>
    <t xml:space="preserve">quota massima di sovvenzione </t>
  </si>
  <si>
    <t>Bestehende Steuerung</t>
  </si>
  <si>
    <t>Contrôle existant</t>
  </si>
  <si>
    <t>Controllo esistente</t>
  </si>
  <si>
    <t>Existing control</t>
  </si>
  <si>
    <t>bestehende Transmission</t>
  </si>
  <si>
    <t>Transmission existante</t>
  </si>
  <si>
    <t>Trasmissione esistente</t>
  </si>
  <si>
    <t>Existing transmission</t>
  </si>
  <si>
    <t>Ersatz Heizlüfter durch Splitgerät</t>
  </si>
  <si>
    <t>Ø Aussentemp.</t>
  </si>
  <si>
    <t>COP</t>
  </si>
  <si>
    <t>Stunden [h]</t>
  </si>
  <si>
    <t>Strombedarf</t>
  </si>
  <si>
    <t>Massnahme Ersatz Heizlüfter durch Splitgerät ProKibe</t>
  </si>
  <si>
    <t>Kondensationstemperatur</t>
  </si>
  <si>
    <t>°C</t>
  </si>
  <si>
    <t>Temperaturdifferenz Verdampfer</t>
  </si>
  <si>
    <t>K</t>
  </si>
  <si>
    <t>Gütegrad Wärmepumpe</t>
  </si>
  <si>
    <t>Heizleistung Heizlüfter</t>
  </si>
  <si>
    <t>kW</t>
  </si>
  <si>
    <t>Strompreis</t>
  </si>
  <si>
    <t>CHF/kWh</t>
  </si>
  <si>
    <t>Investitionskosten neues Splitgerät</t>
  </si>
  <si>
    <t>Luzern</t>
  </si>
  <si>
    <t>Altdorf</t>
  </si>
  <si>
    <t>Basel</t>
  </si>
  <si>
    <t>Bern</t>
  </si>
  <si>
    <t>Aarau</t>
  </si>
  <si>
    <t>Chur</t>
  </si>
  <si>
    <t>Davos</t>
  </si>
  <si>
    <t>Engelberg</t>
  </si>
  <si>
    <t>Genf</t>
  </si>
  <si>
    <t>Glarus</t>
  </si>
  <si>
    <t>La Chaux-de-Fonds</t>
  </si>
  <si>
    <t>Locarno</t>
  </si>
  <si>
    <t>Neuchatel</t>
  </si>
  <si>
    <t>Piotta</t>
  </si>
  <si>
    <t>Samaden</t>
  </si>
  <si>
    <t>St. Gallen</t>
  </si>
  <si>
    <t>Schaffhausen</t>
  </si>
  <si>
    <t>Sion</t>
  </si>
  <si>
    <t>Zürich</t>
  </si>
  <si>
    <t>Stunden</t>
  </si>
  <si>
    <t>Zermatt</t>
  </si>
  <si>
    <t>Leistung Heizlüfter [kW]</t>
  </si>
  <si>
    <t>Region</t>
  </si>
  <si>
    <t>Anzahl Heizlüfter</t>
  </si>
  <si>
    <t>Anzahl Splitgeräte</t>
  </si>
  <si>
    <t>Heizleistung Splitgeräte [kW]</t>
  </si>
  <si>
    <t>Heizlüfter</t>
  </si>
  <si>
    <t>Auswahl Stunden</t>
  </si>
  <si>
    <t>Auswahl Strombedarf</t>
  </si>
  <si>
    <t>Energieeffizienzklasse</t>
  </si>
  <si>
    <t>A+++</t>
  </si>
  <si>
    <t>A++</t>
  </si>
  <si>
    <t>Erfüllt</t>
  </si>
  <si>
    <t>Number of fan heaters</t>
  </si>
  <si>
    <t>Nombre d'aérothermes</t>
  </si>
  <si>
    <t>Numero di termoventilatori</t>
  </si>
  <si>
    <t>Numero di unità split</t>
  </si>
  <si>
    <t>Nombre d'appareils split</t>
  </si>
  <si>
    <t>Number of split units</t>
  </si>
  <si>
    <t>Fan heater power [kW]</t>
  </si>
  <si>
    <t>Puissance de l'aérotherme [kW]</t>
  </si>
  <si>
    <t>Potenza del ventilatore [kW]</t>
  </si>
  <si>
    <t>Capacità di riscaldamento unità split [kW]</t>
  </si>
  <si>
    <t>Puissance de chauffage appareils split [kW]</t>
  </si>
  <si>
    <t>Heating capacity split units [kW]</t>
  </si>
  <si>
    <t>Région</t>
  </si>
  <si>
    <t>Regione</t>
  </si>
  <si>
    <t>Classe di efficienza energetica</t>
  </si>
  <si>
    <t>Classe d'efficacité énergétique</t>
  </si>
  <si>
    <t>Energy efficiency class</t>
  </si>
  <si>
    <t>Einsparungen Wirkungsdauer</t>
  </si>
  <si>
    <t>Neue Motoren</t>
  </si>
  <si>
    <t>Bestehende Motoren</t>
  </si>
  <si>
    <t>Motor1</t>
  </si>
  <si>
    <t>Leistung alt</t>
  </si>
  <si>
    <t>Leistung neu</t>
  </si>
  <si>
    <t>Motor2</t>
  </si>
  <si>
    <t>Motor3</t>
  </si>
  <si>
    <t>Motor4</t>
  </si>
  <si>
    <t>Motor5</t>
  </si>
  <si>
    <t>Motor 1</t>
  </si>
  <si>
    <t>Motor 2</t>
  </si>
  <si>
    <t>Motor 3</t>
  </si>
  <si>
    <t>Motor 4</t>
  </si>
  <si>
    <t>Motor 5</t>
  </si>
  <si>
    <t>Bitte verwenden Sie das Blatt "Ersetzen Motoren" für die Berechnung der Einsparungen</t>
  </si>
  <si>
    <t>Veuillez utiliser la feuille "Remplacer les moteurs" pour calculer les économies réalisées.</t>
  </si>
  <si>
    <t>Utilizzare il foglio "Sostituzione dell motori" per calcolare il risparmio.</t>
  </si>
  <si>
    <t>Please use the "Replace motors" sheet to calculate the savings</t>
  </si>
  <si>
    <t>Bezeichnung</t>
  </si>
  <si>
    <t>Sostituzione del termoventilatore con un unità split</t>
  </si>
  <si>
    <t>Remplacement d un aérotherme par un split</t>
  </si>
  <si>
    <t>Replacement of fan heater with split unit</t>
  </si>
  <si>
    <t>Alter der Anlage</t>
  </si>
  <si>
    <t>Max. Fördersatz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</si>
</sst>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"/>
    <numFmt numFmtId="165" formatCode="0.000"/>
    <numFmt numFmtId="166" formatCode="0.0000"/>
    <numFmt numFmtId="167" formatCode="#,##0.0"/>
    <numFmt numFmtId="168" formatCode="_ * #,##0_ ;_ * \-#,##0_ ;_ * &quot;-&quot;??_ ;_ @_ "/>
    <numFmt numFmtId="169" formatCode="#,##0.000"/>
  </numFmts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9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FF0000"/>
      <name val="Futura LT Book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8F5F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4E2C8"/>
        <bgColor indexed="64"/>
      </patternFill>
    </fill>
    <fill>
      <patternFill patternType="solid">
        <fgColor rgb="FFC6EFCE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5" fillId="4" borderId="5" applyNumberFormat="0" applyAlignment="0" applyProtection="0"/>
    <xf numFmtId="0" fontId="6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6" borderId="10" applyNumberFormat="0" applyAlignment="0" applyProtection="0"/>
    <xf numFmtId="0" fontId="8" fillId="5" borderId="0" applyNumberFormat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9" borderId="0" applyNumberFormat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1" fillId="18" borderId="0" applyNumberFormat="0" applyBorder="0" applyAlignment="0" applyProtection="0"/>
  </cellStyleXfs>
  <cellXfs count="36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/>
    <xf numFmtId="0" fontId="14" fillId="0" borderId="1" xfId="0" applyFont="1" applyBorder="1"/>
    <xf numFmtId="0" fontId="12" fillId="0" borderId="0" xfId="0" applyFont="1"/>
    <xf numFmtId="0" fontId="12" fillId="0" borderId="4" xfId="0" applyFont="1" applyBorder="1"/>
    <xf numFmtId="0" fontId="0" fillId="0" borderId="1" xfId="0" applyBorder="1"/>
    <xf numFmtId="0" fontId="17" fillId="0" borderId="0" xfId="0" applyFont="1"/>
    <xf numFmtId="0" fontId="0" fillId="3" borderId="1" xfId="0" applyFill="1" applyBorder="1"/>
    <xf numFmtId="1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0" fontId="12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left" wrapText="1"/>
    </xf>
    <xf numFmtId="3" fontId="1" fillId="2" borderId="1" xfId="0" applyNumberFormat="1" applyFont="1" applyFill="1" applyBorder="1" applyAlignment="1">
      <alignment wrapText="1"/>
    </xf>
    <xf numFmtId="3" fontId="12" fillId="2" borderId="1" xfId="0" applyNumberFormat="1" applyFont="1" applyFill="1" applyBorder="1"/>
    <xf numFmtId="0" fontId="0" fillId="0" borderId="9" xfId="0" applyBorder="1" applyAlignment="1">
      <alignment horizontal="left" wrapText="1"/>
    </xf>
    <xf numFmtId="0" fontId="12" fillId="0" borderId="0" xfId="0" applyFont="1" applyProtection="1">
      <protection locked="0" hidden="1"/>
    </xf>
    <xf numFmtId="0" fontId="12" fillId="0" borderId="1" xfId="0" applyFont="1" applyBorder="1" applyAlignment="1">
      <alignment horizontal="right"/>
    </xf>
    <xf numFmtId="0" fontId="0" fillId="0" borderId="0" xfId="0" quotePrefix="1"/>
    <xf numFmtId="0" fontId="0" fillId="0" borderId="21" xfId="0" applyBorder="1"/>
    <xf numFmtId="0" fontId="21" fillId="11" borderId="22" xfId="0" applyFont="1" applyFill="1" applyBorder="1"/>
    <xf numFmtId="0" fontId="0" fillId="12" borderId="23" xfId="0" applyFill="1" applyBorder="1"/>
    <xf numFmtId="0" fontId="21" fillId="11" borderId="24" xfId="0" applyFont="1" applyFill="1" applyBorder="1"/>
    <xf numFmtId="0" fontId="21" fillId="11" borderId="25" xfId="0" applyFont="1" applyFill="1" applyBorder="1"/>
    <xf numFmtId="0" fontId="0" fillId="10" borderId="20" xfId="0" applyFill="1" applyBorder="1"/>
    <xf numFmtId="0" fontId="0" fillId="12" borderId="21" xfId="0" applyFill="1" applyBorder="1"/>
    <xf numFmtId="14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/>
    </xf>
    <xf numFmtId="0" fontId="12" fillId="10" borderId="0" xfId="0" applyFont="1" applyFill="1"/>
    <xf numFmtId="0" fontId="0" fillId="10" borderId="0" xfId="0" applyFill="1"/>
    <xf numFmtId="0" fontId="18" fillId="10" borderId="0" xfId="0" applyFont="1" applyFill="1" applyAlignment="1">
      <alignment vertical="center"/>
    </xf>
    <xf numFmtId="0" fontId="5" fillId="13" borderId="4" xfId="2" applyFill="1" applyBorder="1" applyAlignment="1" applyProtection="1">
      <alignment vertical="center" wrapText="1"/>
      <protection locked="0"/>
    </xf>
    <xf numFmtId="0" fontId="5" fillId="14" borderId="1" xfId="2" applyFill="1" applyBorder="1" applyAlignment="1" applyProtection="1">
      <alignment horizontal="left" vertical="center" wrapText="1"/>
      <protection locked="0"/>
    </xf>
    <xf numFmtId="3" fontId="5" fillId="13" borderId="1" xfId="2" applyNumberFormat="1" applyFill="1" applyBorder="1" applyAlignment="1" applyProtection="1">
      <protection locked="0"/>
    </xf>
    <xf numFmtId="164" fontId="12" fillId="13" borderId="1" xfId="0" applyNumberFormat="1" applyFont="1" applyFill="1" applyBorder="1"/>
    <xf numFmtId="0" fontId="0" fillId="13" borderId="1" xfId="0" applyFill="1" applyBorder="1"/>
    <xf numFmtId="0" fontId="0" fillId="14" borderId="1" xfId="0" applyFill="1" applyBorder="1"/>
    <xf numFmtId="0" fontId="5" fillId="14" borderId="1" xfId="2" applyFill="1" applyBorder="1" applyAlignment="1" applyProtection="1">
      <alignment horizontal="center"/>
      <protection locked="0"/>
    </xf>
    <xf numFmtId="1" fontId="0" fillId="3" borderId="1" xfId="0" applyNumberFormat="1" applyFill="1" applyBorder="1"/>
    <xf numFmtId="14" fontId="25" fillId="13" borderId="1" xfId="2" applyNumberFormat="1" applyFont="1" applyFill="1" applyBorder="1" applyAlignment="1" applyProtection="1">
      <alignment horizontal="left"/>
      <protection locked="0"/>
    </xf>
    <xf numFmtId="0" fontId="0" fillId="14" borderId="6" xfId="0" applyFill="1" applyBorder="1" applyProtection="1">
      <protection locked="0"/>
    </xf>
    <xf numFmtId="0" fontId="4" fillId="10" borderId="0" xfId="0" applyFont="1" applyFill="1"/>
    <xf numFmtId="0" fontId="16" fillId="10" borderId="0" xfId="0" applyFont="1" applyFill="1"/>
    <xf numFmtId="0" fontId="20" fillId="10" borderId="0" xfId="0" applyFont="1" applyFill="1"/>
    <xf numFmtId="0" fontId="16" fillId="10" borderId="0" xfId="0" applyFont="1" applyFill="1" applyAlignment="1">
      <alignment horizontal="left" vertical="center"/>
    </xf>
    <xf numFmtId="0" fontId="12" fillId="10" borderId="0" xfId="0" applyFont="1" applyFill="1" applyProtection="1">
      <protection locked="0" hidden="1"/>
    </xf>
    <xf numFmtId="0" fontId="20" fillId="10" borderId="0" xfId="0" applyFont="1" applyFill="1" applyAlignment="1">
      <alignment horizontal="right" vertical="center"/>
    </xf>
    <xf numFmtId="0" fontId="4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left" vertical="center"/>
    </xf>
    <xf numFmtId="0" fontId="23" fillId="10" borderId="0" xfId="0" applyFont="1" applyFill="1"/>
    <xf numFmtId="0" fontId="2" fillId="10" borderId="0" xfId="0" applyFont="1" applyFill="1" applyAlignment="1">
      <alignment vertical="center" textRotation="90" wrapText="1"/>
    </xf>
    <xf numFmtId="0" fontId="0" fillId="10" borderId="0" xfId="0" applyFill="1" applyAlignment="1">
      <alignment horizontal="left" wrapText="1"/>
    </xf>
    <xf numFmtId="0" fontId="2" fillId="10" borderId="0" xfId="0" applyFont="1" applyFill="1" applyAlignment="1">
      <alignment horizontal="center" vertical="center" textRotation="90" wrapText="1"/>
    </xf>
    <xf numFmtId="0" fontId="0" fillId="10" borderId="0" xfId="0" applyFill="1" applyAlignment="1">
      <alignment wrapText="1"/>
    </xf>
    <xf numFmtId="0" fontId="22" fillId="10" borderId="0" xfId="0" applyFont="1" applyFill="1"/>
    <xf numFmtId="0" fontId="0" fillId="10" borderId="0" xfId="0" applyFill="1" applyAlignment="1">
      <alignment vertical="center"/>
    </xf>
    <xf numFmtId="0" fontId="0" fillId="10" borderId="0" xfId="0" applyFill="1" applyProtection="1">
      <protection hidden="1"/>
    </xf>
    <xf numFmtId="0" fontId="13" fillId="10" borderId="0" xfId="0" applyFont="1" applyFill="1"/>
    <xf numFmtId="0" fontId="24" fillId="10" borderId="0" xfId="0" applyFont="1" applyFill="1"/>
    <xf numFmtId="4" fontId="12" fillId="0" borderId="9" xfId="0" applyNumberFormat="1" applyFont="1" applyBorder="1"/>
    <xf numFmtId="0" fontId="22" fillId="10" borderId="0" xfId="0" applyFont="1" applyFill="1" applyAlignment="1">
      <alignment shrinkToFit="1"/>
    </xf>
    <xf numFmtId="0" fontId="0" fillId="0" borderId="1" xfId="0" applyBorder="1" applyAlignment="1">
      <alignment vertical="center" wrapText="1"/>
    </xf>
    <xf numFmtId="0" fontId="3" fillId="10" borderId="0" xfId="1" applyFill="1" applyAlignment="1" applyProtection="1">
      <alignment vertical="center"/>
      <protection locked="0"/>
    </xf>
    <xf numFmtId="0" fontId="0" fillId="15" borderId="0" xfId="0" applyFill="1"/>
    <xf numFmtId="0" fontId="0" fillId="0" borderId="23" xfId="0" applyBorder="1"/>
    <xf numFmtId="0" fontId="0" fillId="10" borderId="0" xfId="0" applyFill="1" applyAlignment="1">
      <alignment horizontal="left" vertical="top" wrapText="1"/>
    </xf>
    <xf numFmtId="1" fontId="14" fillId="10" borderId="0" xfId="0" applyNumberFormat="1" applyFont="1" applyFill="1" applyAlignment="1">
      <alignment horizontal="right"/>
    </xf>
    <xf numFmtId="1" fontId="12" fillId="1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textRotation="90" wrapText="1"/>
    </xf>
    <xf numFmtId="0" fontId="14" fillId="0" borderId="0" xfId="0" applyFont="1"/>
    <xf numFmtId="164" fontId="14" fillId="10" borderId="0" xfId="0" applyNumberFormat="1" applyFont="1" applyFill="1" applyAlignment="1">
      <alignment horizontal="right"/>
    </xf>
    <xf numFmtId="165" fontId="14" fillId="10" borderId="0" xfId="0" applyNumberFormat="1" applyFont="1" applyFill="1" applyAlignment="1">
      <alignment horizontal="right"/>
    </xf>
    <xf numFmtId="166" fontId="14" fillId="10" borderId="0" xfId="0" applyNumberFormat="1" applyFont="1" applyFill="1" applyAlignment="1">
      <alignment horizontal="right"/>
    </xf>
    <xf numFmtId="2" fontId="0" fillId="0" borderId="0" xfId="0" applyNumberFormat="1" applyAlignment="1">
      <alignment horizontal="left" vertical="top"/>
    </xf>
    <xf numFmtId="0" fontId="27" fillId="0" borderId="1" xfId="12" applyFont="1" applyBorder="1" applyAlignment="1">
      <alignment vertical="center"/>
    </xf>
    <xf numFmtId="0" fontId="27" fillId="0" borderId="1" xfId="12" applyFont="1" applyBorder="1" applyAlignment="1">
      <alignment horizontal="right" vertical="center" wrapText="1"/>
    </xf>
    <xf numFmtId="0" fontId="1" fillId="0" borderId="17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6" fillId="0" borderId="0" xfId="12"/>
    <xf numFmtId="0" fontId="26" fillId="0" borderId="1" xfId="12" applyBorder="1"/>
    <xf numFmtId="1" fontId="26" fillId="0" borderId="1" xfId="12" applyNumberFormat="1" applyBorder="1" applyAlignment="1">
      <alignment wrapText="1"/>
    </xf>
    <xf numFmtId="0" fontId="26" fillId="0" borderId="1" xfId="12" applyBorder="1" applyAlignment="1">
      <alignment wrapText="1"/>
    </xf>
    <xf numFmtId="1" fontId="26" fillId="0" borderId="1" xfId="12" applyNumberFormat="1" applyBorder="1"/>
    <xf numFmtId="0" fontId="25" fillId="3" borderId="0" xfId="0" applyFont="1" applyFill="1"/>
    <xf numFmtId="0" fontId="14" fillId="16" borderId="34" xfId="12" applyFont="1" applyFill="1" applyBorder="1" applyAlignment="1">
      <alignment horizontal="center"/>
    </xf>
    <xf numFmtId="0" fontId="1" fillId="0" borderId="0" xfId="12" applyFont="1"/>
    <xf numFmtId="0" fontId="1" fillId="0" borderId="0" xfId="12" quotePrefix="1" applyFont="1"/>
    <xf numFmtId="0" fontId="28" fillId="3" borderId="0" xfId="0" applyFont="1" applyFill="1"/>
    <xf numFmtId="0" fontId="28" fillId="0" borderId="37" xfId="12" applyFont="1" applyBorder="1" applyAlignment="1">
      <alignment horizontal="center" vertical="center" wrapText="1"/>
    </xf>
    <xf numFmtId="0" fontId="28" fillId="0" borderId="38" xfId="12" applyFont="1" applyBorder="1" applyAlignment="1">
      <alignment horizontal="center" vertical="center" wrapText="1"/>
    </xf>
    <xf numFmtId="0" fontId="30" fillId="0" borderId="39" xfId="12" applyFont="1" applyBorder="1" applyAlignment="1">
      <alignment horizontal="center" vertical="center" wrapText="1"/>
    </xf>
    <xf numFmtId="167" fontId="28" fillId="0" borderId="38" xfId="12" applyNumberFormat="1" applyFont="1" applyBorder="1" applyAlignment="1">
      <alignment horizontal="center" vertical="center" wrapText="1"/>
    </xf>
    <xf numFmtId="0" fontId="28" fillId="0" borderId="38" xfId="12" applyFont="1" applyBorder="1" applyAlignment="1">
      <alignment horizontal="right" vertical="center" wrapText="1"/>
    </xf>
    <xf numFmtId="0" fontId="28" fillId="0" borderId="40" xfId="12" applyFont="1" applyBorder="1" applyAlignment="1">
      <alignment horizontal="center" vertical="center" wrapText="1"/>
    </xf>
    <xf numFmtId="0" fontId="30" fillId="0" borderId="40" xfId="12" applyFont="1" applyBorder="1" applyAlignment="1">
      <alignment horizontal="center" vertical="center" wrapText="1"/>
    </xf>
    <xf numFmtId="0" fontId="30" fillId="0" borderId="41" xfId="12" applyFont="1" applyBorder="1" applyAlignment="1">
      <alignment horizontal="center" vertical="center" wrapText="1"/>
    </xf>
    <xf numFmtId="0" fontId="28" fillId="0" borderId="41" xfId="12" applyFont="1" applyBorder="1" applyAlignment="1">
      <alignment horizontal="center" vertical="center" wrapText="1"/>
    </xf>
    <xf numFmtId="0" fontId="28" fillId="0" borderId="0" xfId="12" quotePrefix="1" applyFont="1" applyAlignment="1">
      <alignment wrapText="1"/>
    </xf>
    <xf numFmtId="0" fontId="28" fillId="0" borderId="0" xfId="12" applyFont="1" applyAlignment="1">
      <alignment wrapText="1"/>
    </xf>
    <xf numFmtId="0" fontId="33" fillId="4" borderId="42" xfId="2" applyFont="1" applyBorder="1" applyAlignment="1" applyProtection="1">
      <alignment horizontal="center" vertical="center" wrapText="1"/>
      <protection locked="0"/>
    </xf>
    <xf numFmtId="0" fontId="33" fillId="4" borderId="1" xfId="2" applyFont="1" applyBorder="1" applyAlignment="1" applyProtection="1">
      <alignment horizontal="center" vertical="center" wrapText="1"/>
      <protection locked="0"/>
    </xf>
    <xf numFmtId="0" fontId="34" fillId="17" borderId="43" xfId="12" applyFont="1" applyFill="1" applyBorder="1" applyAlignment="1">
      <alignment horizontal="center"/>
    </xf>
    <xf numFmtId="0" fontId="34" fillId="0" borderId="1" xfId="12" applyFont="1" applyBorder="1" applyProtection="1">
      <protection locked="0"/>
    </xf>
    <xf numFmtId="167" fontId="34" fillId="17" borderId="1" xfId="12" applyNumberFormat="1" applyFont="1" applyFill="1" applyBorder="1" applyAlignment="1">
      <alignment horizontal="center"/>
    </xf>
    <xf numFmtId="0" fontId="34" fillId="17" borderId="1" xfId="12" applyFont="1" applyFill="1" applyBorder="1" applyAlignment="1">
      <alignment horizontal="right"/>
    </xf>
    <xf numFmtId="0" fontId="35" fillId="0" borderId="44" xfId="0" applyFont="1" applyBorder="1" applyProtection="1">
      <protection locked="0"/>
    </xf>
    <xf numFmtId="0" fontId="36" fillId="0" borderId="3" xfId="0" applyFont="1" applyBorder="1" applyProtection="1">
      <protection locked="0"/>
    </xf>
    <xf numFmtId="0" fontId="35" fillId="0" borderId="1" xfId="0" applyFont="1" applyBorder="1" applyProtection="1">
      <protection locked="0"/>
    </xf>
    <xf numFmtId="2" fontId="34" fillId="17" borderId="1" xfId="12" applyNumberFormat="1" applyFont="1" applyFill="1" applyBorder="1" applyProtection="1">
      <protection locked="0"/>
    </xf>
    <xf numFmtId="2" fontId="34" fillId="17" borderId="4" xfId="12" applyNumberFormat="1" applyFont="1" applyFill="1" applyBorder="1"/>
    <xf numFmtId="164" fontId="34" fillId="17" borderId="1" xfId="12" applyNumberFormat="1" applyFont="1" applyFill="1" applyBorder="1"/>
    <xf numFmtId="0" fontId="34" fillId="17" borderId="1" xfId="12" applyFont="1" applyFill="1" applyBorder="1" applyAlignment="1">
      <alignment horizontal="center"/>
    </xf>
    <xf numFmtId="0" fontId="28" fillId="0" borderId="0" xfId="12" applyFont="1"/>
    <xf numFmtId="0" fontId="33" fillId="4" borderId="45" xfId="2" applyFont="1" applyBorder="1" applyAlignment="1" applyProtection="1">
      <alignment horizontal="center" vertical="center" wrapText="1"/>
      <protection locked="0"/>
    </xf>
    <xf numFmtId="0" fontId="33" fillId="4" borderId="46" xfId="2" applyFont="1" applyBorder="1" applyAlignment="1" applyProtection="1">
      <alignment horizontal="center" vertical="center" wrapText="1"/>
      <protection locked="0"/>
    </xf>
    <xf numFmtId="0" fontId="33" fillId="4" borderId="47" xfId="2" applyFont="1" applyBorder="1" applyAlignment="1" applyProtection="1">
      <alignment horizontal="center" vertical="center" wrapText="1"/>
      <protection locked="0"/>
    </xf>
    <xf numFmtId="0" fontId="34" fillId="0" borderId="46" xfId="12" applyFont="1" applyBorder="1" applyProtection="1">
      <protection locked="0"/>
    </xf>
    <xf numFmtId="167" fontId="34" fillId="17" borderId="46" xfId="12" applyNumberFormat="1" applyFont="1" applyFill="1" applyBorder="1" applyAlignment="1">
      <alignment horizontal="center"/>
    </xf>
    <xf numFmtId="0" fontId="34" fillId="17" borderId="46" xfId="12" applyFont="1" applyFill="1" applyBorder="1" applyAlignment="1">
      <alignment horizontal="right"/>
    </xf>
    <xf numFmtId="0" fontId="35" fillId="0" borderId="48" xfId="0" applyFont="1" applyBorder="1" applyProtection="1">
      <protection locked="0"/>
    </xf>
    <xf numFmtId="0" fontId="35" fillId="0" borderId="50" xfId="0" applyFont="1" applyBorder="1" applyProtection="1">
      <protection locked="0"/>
    </xf>
    <xf numFmtId="0" fontId="33" fillId="4" borderId="51" xfId="2" applyFont="1" applyBorder="1" applyAlignment="1" applyProtection="1">
      <alignment horizontal="center" vertical="center" wrapText="1"/>
      <protection locked="0"/>
    </xf>
    <xf numFmtId="0" fontId="35" fillId="0" borderId="46" xfId="0" applyFont="1" applyBorder="1" applyProtection="1">
      <protection locked="0"/>
    </xf>
    <xf numFmtId="164" fontId="34" fillId="17" borderId="46" xfId="12" applyNumberFormat="1" applyFont="1" applyFill="1" applyBorder="1"/>
    <xf numFmtId="0" fontId="2" fillId="3" borderId="0" xfId="0" applyFont="1" applyFill="1" applyAlignment="1">
      <alignment horizontal="center" vertical="center" textRotation="90" wrapText="1"/>
    </xf>
    <xf numFmtId="0" fontId="0" fillId="3" borderId="0" xfId="0" applyFill="1" applyAlignment="1">
      <alignment wrapText="1"/>
    </xf>
    <xf numFmtId="0" fontId="0" fillId="3" borderId="0" xfId="0" applyFill="1"/>
    <xf numFmtId="0" fontId="34" fillId="3" borderId="0" xfId="0" applyFont="1" applyFill="1" applyAlignment="1">
      <alignment horizontal="center" wrapText="1"/>
    </xf>
    <xf numFmtId="0" fontId="34" fillId="3" borderId="0" xfId="0" applyFont="1" applyFill="1" applyAlignment="1">
      <alignment wrapText="1"/>
    </xf>
    <xf numFmtId="167" fontId="0" fillId="3" borderId="0" xfId="0" applyNumberFormat="1" applyFill="1" applyAlignment="1">
      <alignment horizontal="center"/>
    </xf>
    <xf numFmtId="0" fontId="0" fillId="3" borderId="0" xfId="0" applyFill="1" applyAlignment="1">
      <alignment horizontal="right"/>
    </xf>
    <xf numFmtId="0" fontId="12" fillId="3" borderId="0" xfId="0" applyFont="1" applyFill="1"/>
    <xf numFmtId="0" fontId="37" fillId="0" borderId="6" xfId="12" applyFont="1" applyBorder="1" applyAlignment="1">
      <alignment vertical="center" wrapText="1"/>
    </xf>
    <xf numFmtId="0" fontId="37" fillId="0" borderId="7" xfId="12" applyFont="1" applyBorder="1" applyAlignment="1">
      <alignment vertical="center" wrapText="1"/>
    </xf>
    <xf numFmtId="0" fontId="37" fillId="0" borderId="8" xfId="12" applyFont="1" applyBorder="1" applyAlignment="1">
      <alignment vertical="center" wrapText="1"/>
    </xf>
    <xf numFmtId="164" fontId="34" fillId="17" borderId="1" xfId="12" applyNumberFormat="1" applyFont="1" applyFill="1" applyBorder="1" applyAlignment="1">
      <alignment horizontal="center"/>
    </xf>
    <xf numFmtId="168" fontId="34" fillId="17" borderId="1" xfId="13" applyNumberFormat="1" applyFont="1" applyFill="1" applyBorder="1" applyAlignment="1" applyProtection="1">
      <alignment horizontal="center"/>
    </xf>
    <xf numFmtId="0" fontId="34" fillId="3" borderId="0" xfId="0" applyFont="1" applyFill="1" applyAlignment="1">
      <alignment horizontal="center"/>
    </xf>
    <xf numFmtId="0" fontId="34" fillId="3" borderId="0" xfId="0" applyFont="1" applyFill="1"/>
    <xf numFmtId="0" fontId="0" fillId="0" borderId="5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7" xfId="0" applyBorder="1" applyAlignment="1">
      <alignment horizontal="center"/>
    </xf>
    <xf numFmtId="0" fontId="28" fillId="3" borderId="0" xfId="12" applyFont="1" applyFill="1"/>
    <xf numFmtId="0" fontId="28" fillId="3" borderId="0" xfId="12" applyFont="1" applyFill="1" applyProtection="1">
      <protection hidden="1"/>
    </xf>
    <xf numFmtId="0" fontId="28" fillId="3" borderId="0" xfId="0" applyFont="1" applyFill="1" applyAlignment="1">
      <alignment horizontal="left" vertical="center" wrapText="1"/>
    </xf>
    <xf numFmtId="0" fontId="28" fillId="15" borderId="0" xfId="12" applyFont="1" applyFill="1" applyProtection="1">
      <protection hidden="1"/>
    </xf>
    <xf numFmtId="0" fontId="1" fillId="16" borderId="17" xfId="12" applyFont="1" applyFill="1" applyBorder="1" applyProtection="1">
      <protection hidden="1"/>
    </xf>
    <xf numFmtId="0" fontId="28" fillId="3" borderId="0" xfId="12" applyFont="1" applyFill="1" applyAlignment="1">
      <alignment wrapText="1"/>
    </xf>
    <xf numFmtId="0" fontId="37" fillId="0" borderId="58" xfId="12" applyFont="1" applyBorder="1" applyAlignment="1">
      <alignment horizontal="center" vertical="center" wrapText="1"/>
    </xf>
    <xf numFmtId="0" fontId="37" fillId="0" borderId="8" xfId="12" applyFont="1" applyBorder="1" applyAlignment="1">
      <alignment horizontal="center" vertical="center" wrapText="1"/>
    </xf>
    <xf numFmtId="0" fontId="37" fillId="0" borderId="13" xfId="12" applyFont="1" applyBorder="1" applyAlignment="1">
      <alignment horizontal="center" vertical="center" wrapText="1"/>
    </xf>
    <xf numFmtId="0" fontId="37" fillId="0" borderId="37" xfId="12" applyFont="1" applyBorder="1" applyAlignment="1">
      <alignment horizontal="center" vertical="center" wrapText="1"/>
    </xf>
    <xf numFmtId="0" fontId="37" fillId="0" borderId="38" xfId="12" applyFont="1" applyBorder="1" applyAlignment="1">
      <alignment horizontal="center" vertical="center" wrapText="1"/>
    </xf>
    <xf numFmtId="0" fontId="37" fillId="0" borderId="40" xfId="12" applyFont="1" applyBorder="1" applyAlignment="1">
      <alignment horizontal="center" vertical="center" wrapText="1"/>
    </xf>
    <xf numFmtId="0" fontId="38" fillId="0" borderId="38" xfId="12" applyFont="1" applyBorder="1" applyAlignment="1" applyProtection="1">
      <alignment horizontal="center" vertical="center" wrapText="1"/>
      <protection hidden="1"/>
    </xf>
    <xf numFmtId="0" fontId="37" fillId="0" borderId="39" xfId="12" applyFont="1" applyBorder="1" applyAlignment="1">
      <alignment horizontal="center" vertical="center" wrapText="1"/>
    </xf>
    <xf numFmtId="0" fontId="37" fillId="0" borderId="60" xfId="12" applyFont="1" applyBorder="1" applyAlignment="1" applyProtection="1">
      <alignment horizontal="center" vertical="center" wrapText="1"/>
      <protection hidden="1"/>
    </xf>
    <xf numFmtId="3" fontId="33" fillId="4" borderId="1" xfId="2" applyNumberFormat="1" applyFont="1" applyBorder="1" applyAlignment="1" applyProtection="1">
      <alignment horizontal="center" vertical="center" wrapText="1"/>
      <protection locked="0"/>
    </xf>
    <xf numFmtId="0" fontId="33" fillId="4" borderId="4" xfId="2" applyFont="1" applyBorder="1" applyAlignment="1" applyProtection="1">
      <alignment horizontal="center" vertical="center" wrapText="1"/>
      <protection locked="0"/>
    </xf>
    <xf numFmtId="3" fontId="34" fillId="17" borderId="1" xfId="12" applyNumberFormat="1" applyFont="1" applyFill="1" applyBorder="1" applyProtection="1">
      <protection hidden="1"/>
    </xf>
    <xf numFmtId="2" fontId="34" fillId="17" borderId="2" xfId="12" applyNumberFormat="1" applyFont="1" applyFill="1" applyBorder="1" applyAlignment="1" applyProtection="1">
      <alignment horizontal="center"/>
      <protection hidden="1"/>
    </xf>
    <xf numFmtId="3" fontId="34" fillId="17" borderId="43" xfId="12" applyNumberFormat="1" applyFont="1" applyFill="1" applyBorder="1" applyAlignment="1" applyProtection="1">
      <alignment horizontal="center"/>
      <protection hidden="1"/>
    </xf>
    <xf numFmtId="3" fontId="34" fillId="17" borderId="44" xfId="12" applyNumberFormat="1" applyFont="1" applyFill="1" applyBorder="1" applyAlignment="1" applyProtection="1">
      <alignment horizontal="center"/>
      <protection hidden="1"/>
    </xf>
    <xf numFmtId="2" fontId="1" fillId="0" borderId="0" xfId="12" applyNumberFormat="1" applyFont="1"/>
    <xf numFmtId="3" fontId="33" fillId="4" borderId="46" xfId="2" applyNumberFormat="1" applyFont="1" applyBorder="1" applyAlignment="1" applyProtection="1">
      <alignment horizontal="center" vertical="center" wrapText="1"/>
      <protection locked="0"/>
    </xf>
    <xf numFmtId="2" fontId="34" fillId="17" borderId="49" xfId="12" applyNumberFormat="1" applyFont="1" applyFill="1" applyBorder="1" applyAlignment="1" applyProtection="1">
      <alignment horizontal="center"/>
      <protection hidden="1"/>
    </xf>
    <xf numFmtId="3" fontId="34" fillId="17" borderId="50" xfId="12" applyNumberFormat="1" applyFont="1" applyFill="1" applyBorder="1" applyAlignment="1" applyProtection="1">
      <alignment horizontal="center"/>
      <protection hidden="1"/>
    </xf>
    <xf numFmtId="0" fontId="28" fillId="0" borderId="0" xfId="12" applyFont="1" applyProtection="1">
      <protection hidden="1"/>
    </xf>
    <xf numFmtId="0" fontId="28" fillId="3" borderId="0" xfId="12" applyFont="1" applyFill="1" applyAlignment="1">
      <alignment horizontal="center"/>
    </xf>
    <xf numFmtId="0" fontId="0" fillId="3" borderId="0" xfId="0" applyFill="1" applyProtection="1">
      <protection hidden="1"/>
    </xf>
    <xf numFmtId="0" fontId="0" fillId="3" borderId="0" xfId="0" applyFill="1" applyAlignment="1">
      <alignment horizontal="left" wrapText="1"/>
    </xf>
    <xf numFmtId="0" fontId="2" fillId="0" borderId="6" xfId="0" applyFont="1" applyBorder="1" applyAlignment="1">
      <alignment vertical="center" textRotation="90" wrapText="1"/>
    </xf>
    <xf numFmtId="4" fontId="0" fillId="2" borderId="1" xfId="0" applyNumberFormat="1" applyFill="1" applyBorder="1" applyAlignment="1">
      <alignment horizontal="right" wrapText="1"/>
    </xf>
    <xf numFmtId="0" fontId="2" fillId="0" borderId="7" xfId="0" applyFont="1" applyBorder="1" applyAlignment="1">
      <alignment vertical="center" textRotation="90" wrapText="1"/>
    </xf>
    <xf numFmtId="3" fontId="0" fillId="2" borderId="1" xfId="0" applyNumberFormat="1" applyFill="1" applyBorder="1" applyAlignment="1">
      <alignment horizontal="right" wrapText="1"/>
    </xf>
    <xf numFmtId="169" fontId="0" fillId="2" borderId="4" xfId="0" applyNumberFormat="1" applyFill="1" applyBorder="1" applyAlignment="1">
      <alignment horizontal="right" wrapText="1"/>
    </xf>
    <xf numFmtId="0" fontId="2" fillId="0" borderId="8" xfId="0" applyFont="1" applyBorder="1" applyAlignment="1">
      <alignment vertical="center" textRotation="90" wrapText="1"/>
    </xf>
    <xf numFmtId="0" fontId="0" fillId="0" borderId="14" xfId="0" applyBorder="1"/>
    <xf numFmtId="0" fontId="0" fillId="0" borderId="20" xfId="0" applyBorder="1"/>
    <xf numFmtId="0" fontId="0" fillId="0" borderId="11" xfId="0" applyBorder="1"/>
    <xf numFmtId="0" fontId="0" fillId="0" borderId="15" xfId="0" applyBorder="1"/>
    <xf numFmtId="0" fontId="0" fillId="0" borderId="12" xfId="0" applyBorder="1"/>
    <xf numFmtId="0" fontId="40" fillId="0" borderId="15" xfId="0" applyFont="1" applyBorder="1" applyAlignment="1">
      <alignment horizontal="right"/>
    </xf>
    <xf numFmtId="165" fontId="0" fillId="0" borderId="0" xfId="0" applyNumberFormat="1"/>
    <xf numFmtId="0" fontId="0" fillId="0" borderId="16" xfId="0" applyBorder="1"/>
    <xf numFmtId="0" fontId="0" fillId="0" borderId="26" xfId="0" applyBorder="1"/>
    <xf numFmtId="165" fontId="0" fillId="0" borderId="26" xfId="0" applyNumberFormat="1" applyBorder="1"/>
    <xf numFmtId="0" fontId="0" fillId="0" borderId="13" xfId="0" applyBorder="1"/>
    <xf numFmtId="0" fontId="33" fillId="4" borderId="3" xfId="2" applyFont="1" applyBorder="1" applyAlignment="1" applyProtection="1">
      <alignment horizontal="center" vertical="center" wrapText="1"/>
      <protection locked="0"/>
    </xf>
    <xf numFmtId="167" fontId="25" fillId="3" borderId="0" xfId="0" applyNumberFormat="1" applyFont="1" applyFill="1" applyAlignment="1">
      <alignment horizontal="center"/>
    </xf>
    <xf numFmtId="0" fontId="25" fillId="3" borderId="0" xfId="0" applyFont="1" applyFill="1" applyAlignment="1">
      <alignment horizontal="right"/>
    </xf>
    <xf numFmtId="0" fontId="28" fillId="3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3" fontId="42" fillId="3" borderId="0" xfId="0" applyNumberFormat="1" applyFont="1" applyFill="1"/>
    <xf numFmtId="0" fontId="36" fillId="2" borderId="1" xfId="0" applyFont="1" applyFill="1" applyBorder="1" applyAlignment="1">
      <alignment horizontal="right" wrapText="1"/>
    </xf>
    <xf numFmtId="3" fontId="33" fillId="4" borderId="3" xfId="2" applyNumberFormat="1" applyFont="1" applyBorder="1" applyAlignment="1" applyProtection="1">
      <alignment horizontal="right" vertical="center" wrapText="1"/>
      <protection locked="0"/>
    </xf>
    <xf numFmtId="0" fontId="3" fillId="3" borderId="0" xfId="1" applyFill="1" applyProtection="1">
      <protection locked="0"/>
    </xf>
    <xf numFmtId="3" fontId="36" fillId="2" borderId="2" xfId="0" applyNumberFormat="1" applyFont="1" applyFill="1" applyBorder="1" applyAlignment="1">
      <alignment horizontal="right" wrapText="1"/>
    </xf>
    <xf numFmtId="4" fontId="34" fillId="2" borderId="1" xfId="0" applyNumberFormat="1" applyFont="1" applyFill="1" applyBorder="1" applyAlignment="1">
      <alignment horizontal="right" wrapText="1"/>
    </xf>
    <xf numFmtId="3" fontId="34" fillId="2" borderId="1" xfId="0" applyNumberFormat="1" applyFont="1" applyFill="1" applyBorder="1" applyAlignment="1">
      <alignment horizontal="right" wrapText="1"/>
    </xf>
    <xf numFmtId="169" fontId="34" fillId="2" borderId="4" xfId="0" applyNumberFormat="1" applyFont="1" applyFill="1" applyBorder="1" applyAlignment="1">
      <alignment horizontal="right" wrapText="1"/>
    </xf>
    <xf numFmtId="0" fontId="1" fillId="3" borderId="0" xfId="0" applyFont="1" applyFill="1" applyAlignment="1">
      <alignment horizontal="left" vertical="center" wrapText="1"/>
    </xf>
    <xf numFmtId="0" fontId="43" fillId="3" borderId="0" xfId="0" applyFont="1" applyFill="1" applyAlignment="1">
      <alignment horizontal="center" vertical="center" wrapText="1"/>
    </xf>
    <xf numFmtId="9" fontId="34" fillId="2" borderId="1" xfId="15" applyFont="1" applyFill="1" applyBorder="1" applyAlignment="1" applyProtection="1"/>
    <xf numFmtId="3" fontId="34" fillId="2" borderId="1" xfId="0" applyNumberFormat="1" applyFont="1" applyFill="1" applyBorder="1" applyAlignment="1">
      <alignment wrapText="1"/>
    </xf>
    <xf numFmtId="0" fontId="34" fillId="0" borderId="0" xfId="12" applyFont="1" applyAlignment="1">
      <alignment horizontal="center"/>
    </xf>
    <xf numFmtId="0" fontId="34" fillId="0" borderId="0" xfId="12" applyFont="1"/>
    <xf numFmtId="167" fontId="28" fillId="0" borderId="0" xfId="12" applyNumberFormat="1" applyFont="1" applyAlignment="1">
      <alignment horizontal="center"/>
    </xf>
    <xf numFmtId="0" fontId="28" fillId="0" borderId="0" xfId="12" applyFont="1" applyAlignment="1">
      <alignment horizontal="right"/>
    </xf>
    <xf numFmtId="0" fontId="30" fillId="0" borderId="0" xfId="12" applyFont="1"/>
    <xf numFmtId="3" fontId="41" fillId="18" borderId="1" xfId="16" applyNumberFormat="1" applyBorder="1" applyAlignment="1">
      <alignment horizontal="right" wrapText="1"/>
    </xf>
    <xf numFmtId="168" fontId="41" fillId="18" borderId="1" xfId="16" applyNumberFormat="1" applyBorder="1"/>
    <xf numFmtId="165" fontId="0" fillId="10" borderId="0" xfId="0" applyNumberFormat="1" applyFill="1"/>
    <xf numFmtId="0" fontId="0" fillId="10" borderId="1" xfId="0" applyFill="1" applyBorder="1"/>
    <xf numFmtId="0" fontId="33" fillId="4" borderId="13" xfId="2" applyFont="1" applyBorder="1" applyAlignment="1" applyProtection="1">
      <alignment horizontal="center" vertical="center" wrapText="1"/>
      <protection locked="0"/>
    </xf>
    <xf numFmtId="0" fontId="3" fillId="0" borderId="0" xfId="1" applyFill="1" applyProtection="1">
      <protection locked="0"/>
    </xf>
    <xf numFmtId="1" fontId="12" fillId="10" borderId="1" xfId="0" applyNumberFormat="1" applyFont="1" applyFill="1" applyBorder="1" applyAlignment="1">
      <alignment horizontal="left"/>
    </xf>
    <xf numFmtId="9" fontId="33" fillId="4" borderId="4" xfId="15" applyFont="1" applyFill="1" applyBorder="1" applyAlignment="1" applyProtection="1">
      <alignment horizontal="center" vertical="center" wrapText="1"/>
      <protection locked="0"/>
    </xf>
    <xf numFmtId="2" fontId="28" fillId="0" borderId="0" xfId="12" applyNumberFormat="1" applyFont="1"/>
    <xf numFmtId="1" fontId="12" fillId="10" borderId="1" xfId="0" applyNumberFormat="1" applyFont="1" applyFill="1" applyBorder="1" applyAlignment="1" applyProtection="1">
      <alignment horizontal="left"/>
      <protection locked="0"/>
    </xf>
    <xf numFmtId="0" fontId="5" fillId="10" borderId="0" xfId="2" applyFill="1" applyBorder="1" applyAlignment="1" applyProtection="1">
      <alignment horizontal="left" vertical="center" wrapText="1"/>
    </xf>
    <xf numFmtId="14" fontId="25" fillId="10" borderId="0" xfId="2" applyNumberFormat="1" applyFont="1" applyFill="1" applyBorder="1" applyAlignment="1" applyProtection="1">
      <alignment horizontal="center"/>
    </xf>
    <xf numFmtId="0" fontId="0" fillId="10" borderId="1" xfId="0" applyFill="1" applyBorder="1" applyAlignment="1">
      <alignment horizontal="left"/>
    </xf>
    <xf numFmtId="0" fontId="0" fillId="13" borderId="1" xfId="0" applyFill="1" applyBorder="1" applyAlignment="1" applyProtection="1">
      <alignment horizontal="left"/>
      <protection locked="0"/>
    </xf>
    <xf numFmtId="1" fontId="12" fillId="13" borderId="1" xfId="0" applyNumberFormat="1" applyFont="1" applyFill="1" applyBorder="1" applyAlignment="1" applyProtection="1">
      <alignment horizontal="left"/>
      <protection locked="0"/>
    </xf>
    <xf numFmtId="164" fontId="0" fillId="0" borderId="0" xfId="0" applyNumberFormat="1"/>
    <xf numFmtId="1" fontId="0" fillId="0" borderId="0" xfId="0" applyNumberFormat="1"/>
    <xf numFmtId="3" fontId="0" fillId="0" borderId="0" xfId="0" applyNumberFormat="1"/>
    <xf numFmtId="1" fontId="0" fillId="10" borderId="0" xfId="0" applyNumberFormat="1" applyFill="1"/>
    <xf numFmtId="0" fontId="0" fillId="10" borderId="0" xfId="0" applyFill="1" applyAlignment="1">
      <alignment horizontal="right" wrapText="1"/>
    </xf>
    <xf numFmtId="0" fontId="0" fillId="0" borderId="62" xfId="0" applyBorder="1"/>
    <xf numFmtId="0" fontId="0" fillId="0" borderId="34" xfId="0" applyBorder="1"/>
    <xf numFmtId="0" fontId="0" fillId="0" borderId="61" xfId="0" applyBorder="1"/>
    <xf numFmtId="0" fontId="0" fillId="0" borderId="19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9" fontId="33" fillId="4" borderId="1" xfId="15" applyFont="1" applyFill="1" applyBorder="1" applyAlignment="1" applyProtection="1">
      <alignment horizontal="center" vertical="center" wrapText="1"/>
      <protection locked="0"/>
    </xf>
    <xf numFmtId="3" fontId="33" fillId="4" borderId="4" xfId="2" applyNumberFormat="1" applyFont="1" applyBorder="1" applyAlignment="1" applyProtection="1">
      <alignment horizontal="center" vertical="center" wrapText="1"/>
      <protection locked="0"/>
    </xf>
    <xf numFmtId="3" fontId="33" fillId="4" borderId="43" xfId="2" applyNumberFormat="1" applyFont="1" applyBorder="1" applyAlignment="1" applyProtection="1">
      <alignment horizontal="center" vertical="center" wrapText="1"/>
      <protection locked="0"/>
    </xf>
    <xf numFmtId="3" fontId="33" fillId="4" borderId="48" xfId="2" applyNumberFormat="1" applyFont="1" applyBorder="1" applyAlignment="1" applyProtection="1">
      <alignment horizontal="center" vertical="center" wrapText="1"/>
      <protection locked="0"/>
    </xf>
    <xf numFmtId="3" fontId="33" fillId="4" borderId="51" xfId="2" applyNumberFormat="1" applyFont="1" applyBorder="1" applyAlignment="1" applyProtection="1">
      <alignment horizontal="center" vertical="center" wrapText="1"/>
      <protection locked="0"/>
    </xf>
    <xf numFmtId="9" fontId="33" fillId="4" borderId="46" xfId="15" applyFont="1" applyFill="1" applyBorder="1" applyAlignment="1" applyProtection="1">
      <alignment horizontal="center" vertical="center" wrapText="1"/>
      <protection locked="0"/>
    </xf>
    <xf numFmtId="0" fontId="25" fillId="3" borderId="63" xfId="0" applyFont="1" applyFill="1" applyBorder="1"/>
    <xf numFmtId="0" fontId="1" fillId="0" borderId="19" xfId="12" applyFont="1" applyBorder="1"/>
    <xf numFmtId="0" fontId="28" fillId="0" borderId="11" xfId="12" applyFont="1" applyBorder="1" applyAlignment="1">
      <alignment horizontal="center" vertical="center" wrapText="1"/>
    </xf>
    <xf numFmtId="0" fontId="28" fillId="0" borderId="6" xfId="12" applyFont="1" applyBorder="1" applyAlignment="1">
      <alignment horizontal="center" vertical="center" wrapText="1"/>
    </xf>
    <xf numFmtId="0" fontId="28" fillId="0" borderId="31" xfId="12" applyFont="1" applyBorder="1" applyAlignment="1">
      <alignment horizontal="center" vertical="center" wrapText="1"/>
    </xf>
    <xf numFmtId="0" fontId="30" fillId="0" borderId="61" xfId="12" applyFont="1" applyBorder="1" applyAlignment="1">
      <alignment horizontal="center" vertical="center" wrapText="1"/>
    </xf>
    <xf numFmtId="0" fontId="28" fillId="0" borderId="67" xfId="12" applyFont="1" applyBorder="1" applyAlignment="1">
      <alignment horizontal="center" vertical="center" wrapText="1"/>
    </xf>
    <xf numFmtId="0" fontId="30" fillId="0" borderId="67" xfId="12" applyFont="1" applyBorder="1" applyAlignment="1">
      <alignment horizontal="center" vertical="center" wrapText="1"/>
    </xf>
    <xf numFmtId="0" fontId="28" fillId="0" borderId="19" xfId="12" applyFont="1" applyBorder="1" applyAlignment="1">
      <alignment wrapText="1"/>
    </xf>
    <xf numFmtId="3" fontId="33" fillId="4" borderId="1" xfId="2" applyNumberFormat="1" applyFont="1" applyBorder="1" applyAlignment="1" applyProtection="1">
      <alignment horizontal="center" vertical="center" wrapText="1"/>
    </xf>
    <xf numFmtId="168" fontId="41" fillId="18" borderId="1" xfId="16" applyNumberFormat="1" applyBorder="1" applyProtection="1"/>
    <xf numFmtId="0" fontId="0" fillId="0" borderId="58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68" xfId="0" applyBorder="1" applyProtection="1">
      <protection locked="0"/>
    </xf>
    <xf numFmtId="3" fontId="33" fillId="4" borderId="46" xfId="2" applyNumberFormat="1" applyFont="1" applyBorder="1" applyAlignment="1" applyProtection="1">
      <alignment horizontal="center" vertical="center" wrapText="1"/>
    </xf>
    <xf numFmtId="167" fontId="33" fillId="4" borderId="1" xfId="2" applyNumberFormat="1" applyFont="1" applyBorder="1" applyAlignment="1" applyProtection="1">
      <alignment horizontal="center" vertical="center" wrapText="1"/>
      <protection locked="0"/>
    </xf>
    <xf numFmtId="167" fontId="33" fillId="4" borderId="46" xfId="2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wrapText="1"/>
    </xf>
    <xf numFmtId="0" fontId="19" fillId="10" borderId="19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3" fillId="10" borderId="15" xfId="0" applyFont="1" applyFill="1" applyBorder="1" applyAlignment="1">
      <alignment horizontal="left" shrinkToFit="1"/>
    </xf>
    <xf numFmtId="0" fontId="13" fillId="10" borderId="0" xfId="0" applyFont="1" applyFill="1" applyAlignment="1">
      <alignment horizontal="left" shrinkToFit="1"/>
    </xf>
    <xf numFmtId="0" fontId="3" fillId="10" borderId="15" xfId="1" applyFill="1" applyBorder="1" applyAlignment="1" applyProtection="1">
      <alignment horizontal="left" wrapText="1"/>
      <protection locked="0"/>
    </xf>
    <xf numFmtId="0" fontId="3" fillId="10" borderId="0" xfId="1" applyFill="1" applyBorder="1" applyAlignment="1" applyProtection="1">
      <alignment horizontal="left" wrapText="1"/>
      <protection locked="0"/>
    </xf>
    <xf numFmtId="0" fontId="0" fillId="13" borderId="1" xfId="0" applyFill="1" applyBorder="1" applyAlignment="1" applyProtection="1">
      <alignment horizontal="left" vertical="top" wrapText="1"/>
      <protection locked="0"/>
    </xf>
    <xf numFmtId="0" fontId="25" fillId="13" borderId="2" xfId="1" applyFont="1" applyFill="1" applyBorder="1" applyAlignment="1" applyProtection="1">
      <alignment horizontal="left" vertical="center" wrapText="1"/>
      <protection locked="0"/>
    </xf>
    <xf numFmtId="0" fontId="25" fillId="13" borderId="3" xfId="2" applyFont="1" applyFill="1" applyBorder="1" applyAlignment="1" applyProtection="1">
      <alignment horizontal="left" vertical="center" wrapText="1"/>
      <protection locked="0"/>
    </xf>
    <xf numFmtId="0" fontId="25" fillId="13" borderId="4" xfId="2" applyFont="1" applyFill="1" applyBorder="1" applyAlignment="1" applyProtection="1">
      <alignment horizontal="left" vertical="center" wrapText="1"/>
      <protection locked="0"/>
    </xf>
    <xf numFmtId="0" fontId="3" fillId="13" borderId="2" xfId="1" applyFill="1" applyBorder="1" applyAlignment="1" applyProtection="1">
      <alignment horizontal="left" vertical="center" wrapText="1"/>
      <protection locked="0"/>
    </xf>
    <xf numFmtId="0" fontId="5" fillId="13" borderId="3" xfId="2" applyFill="1" applyBorder="1" applyAlignment="1" applyProtection="1">
      <alignment horizontal="left" vertical="center" wrapText="1"/>
      <protection locked="0"/>
    </xf>
    <xf numFmtId="0" fontId="5" fillId="13" borderId="4" xfId="2" applyFill="1" applyBorder="1" applyAlignment="1" applyProtection="1">
      <alignment horizontal="left" vertical="center" wrapText="1"/>
      <protection locked="0"/>
    </xf>
    <xf numFmtId="0" fontId="23" fillId="10" borderId="0" xfId="0" applyFont="1" applyFill="1" applyAlignment="1">
      <alignment horizontal="left" shrinkToFit="1"/>
    </xf>
    <xf numFmtId="14" fontId="25" fillId="13" borderId="1" xfId="2" applyNumberFormat="1" applyFont="1" applyFill="1" applyBorder="1" applyAlignment="1" applyProtection="1">
      <alignment horizontal="center"/>
      <protection locked="0"/>
    </xf>
    <xf numFmtId="1" fontId="12" fillId="13" borderId="2" xfId="0" applyNumberFormat="1" applyFont="1" applyFill="1" applyBorder="1" applyAlignment="1" applyProtection="1">
      <alignment horizontal="center"/>
      <protection locked="0"/>
    </xf>
    <xf numFmtId="1" fontId="12" fillId="13" borderId="3" xfId="0" applyNumberFormat="1" applyFont="1" applyFill="1" applyBorder="1" applyAlignment="1" applyProtection="1">
      <alignment horizontal="center"/>
      <protection locked="0"/>
    </xf>
    <xf numFmtId="1" fontId="12" fillId="13" borderId="4" xfId="0" applyNumberFormat="1" applyFont="1" applyFill="1" applyBorder="1" applyAlignment="1" applyProtection="1">
      <alignment horizontal="center"/>
      <protection locked="0"/>
    </xf>
    <xf numFmtId="3" fontId="12" fillId="13" borderId="2" xfId="0" applyNumberFormat="1" applyFont="1" applyFill="1" applyBorder="1" applyAlignment="1" applyProtection="1">
      <alignment horizontal="center"/>
      <protection locked="0"/>
    </xf>
    <xf numFmtId="3" fontId="12" fillId="13" borderId="3" xfId="0" applyNumberFormat="1" applyFont="1" applyFill="1" applyBorder="1" applyAlignment="1" applyProtection="1">
      <alignment horizontal="center"/>
      <protection locked="0"/>
    </xf>
    <xf numFmtId="3" fontId="12" fillId="13" borderId="4" xfId="0" applyNumberFormat="1" applyFont="1" applyFill="1" applyBorder="1" applyAlignment="1" applyProtection="1">
      <alignment horizontal="center"/>
      <protection locked="0"/>
    </xf>
    <xf numFmtId="1" fontId="14" fillId="10" borderId="2" xfId="0" applyNumberFormat="1" applyFont="1" applyFill="1" applyBorder="1" applyAlignment="1">
      <alignment horizontal="right"/>
    </xf>
    <xf numFmtId="1" fontId="14" fillId="10" borderId="3" xfId="0" applyNumberFormat="1" applyFont="1" applyFill="1" applyBorder="1" applyAlignment="1">
      <alignment horizontal="right"/>
    </xf>
    <xf numFmtId="1" fontId="14" fillId="10" borderId="4" xfId="0" applyNumberFormat="1" applyFont="1" applyFill="1" applyBorder="1" applyAlignment="1">
      <alignment horizontal="right"/>
    </xf>
    <xf numFmtId="1" fontId="12" fillId="14" borderId="2" xfId="0" applyNumberFormat="1" applyFont="1" applyFill="1" applyBorder="1" applyAlignment="1" applyProtection="1">
      <alignment horizontal="left"/>
      <protection locked="0"/>
    </xf>
    <xf numFmtId="1" fontId="12" fillId="14" borderId="3" xfId="0" applyNumberFormat="1" applyFont="1" applyFill="1" applyBorder="1" applyAlignment="1" applyProtection="1">
      <alignment horizontal="left"/>
      <protection locked="0"/>
    </xf>
    <xf numFmtId="1" fontId="12" fillId="14" borderId="4" xfId="0" applyNumberFormat="1" applyFont="1" applyFill="1" applyBorder="1" applyAlignment="1" applyProtection="1">
      <alignment horizontal="left"/>
      <protection locked="0"/>
    </xf>
    <xf numFmtId="0" fontId="0" fillId="14" borderId="2" xfId="0" applyFill="1" applyBorder="1" applyAlignment="1" applyProtection="1">
      <alignment horizontal="left"/>
      <protection locked="0"/>
    </xf>
    <xf numFmtId="0" fontId="0" fillId="14" borderId="3" xfId="0" applyFill="1" applyBorder="1" applyAlignment="1" applyProtection="1">
      <alignment horizontal="left"/>
      <protection locked="0"/>
    </xf>
    <xf numFmtId="0" fontId="0" fillId="14" borderId="4" xfId="0" applyFill="1" applyBorder="1" applyAlignment="1" applyProtection="1">
      <alignment horizontal="left"/>
      <protection locked="0"/>
    </xf>
    <xf numFmtId="0" fontId="0" fillId="10" borderId="20" xfId="0" applyFill="1" applyBorder="1" applyAlignment="1">
      <alignment horizontal="left" vertical="top" wrapText="1"/>
    </xf>
    <xf numFmtId="0" fontId="0" fillId="10" borderId="11" xfId="0" applyFill="1" applyBorder="1" applyAlignment="1">
      <alignment horizontal="left" vertical="top" wrapText="1"/>
    </xf>
    <xf numFmtId="0" fontId="0" fillId="10" borderId="0" xfId="0" applyFill="1" applyAlignment="1">
      <alignment horizontal="left" vertical="top" wrapText="1"/>
    </xf>
    <xf numFmtId="0" fontId="0" fillId="10" borderId="12" xfId="0" applyFill="1" applyBorder="1" applyAlignment="1">
      <alignment horizontal="left" vertical="top" wrapText="1"/>
    </xf>
    <xf numFmtId="0" fontId="0" fillId="10" borderId="26" xfId="0" applyFill="1" applyBorder="1" applyAlignment="1">
      <alignment horizontal="left" vertical="top" wrapText="1"/>
    </xf>
    <xf numFmtId="0" fontId="0" fillId="10" borderId="13" xfId="0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13" borderId="1" xfId="2" applyFill="1" applyBorder="1" applyAlignment="1" applyProtection="1">
      <alignment horizontal="left" vertical="center" wrapText="1"/>
      <protection locked="0"/>
    </xf>
    <xf numFmtId="0" fontId="5" fillId="13" borderId="2" xfId="2" applyFill="1" applyBorder="1" applyAlignment="1" applyProtection="1">
      <alignment horizontal="left" vertical="center" wrapText="1"/>
      <protection locked="0"/>
    </xf>
    <xf numFmtId="0" fontId="5" fillId="13" borderId="2" xfId="2" quotePrefix="1" applyFill="1" applyBorder="1" applyAlignment="1" applyProtection="1">
      <alignment horizontal="left" vertical="center" wrapText="1"/>
      <protection locked="0"/>
    </xf>
    <xf numFmtId="0" fontId="5" fillId="13" borderId="3" xfId="2" quotePrefix="1" applyFill="1" applyBorder="1" applyAlignment="1" applyProtection="1">
      <alignment horizontal="left" vertical="center" wrapText="1"/>
      <protection locked="0"/>
    </xf>
    <xf numFmtId="0" fontId="5" fillId="13" borderId="4" xfId="2" quotePrefix="1" applyFill="1" applyBorder="1" applyAlignment="1" applyProtection="1">
      <alignment horizontal="left" vertical="center" wrapText="1"/>
      <protection locked="0"/>
    </xf>
    <xf numFmtId="0" fontId="5" fillId="13" borderId="2" xfId="2" applyNumberFormat="1" applyFill="1" applyBorder="1" applyAlignment="1" applyProtection="1">
      <alignment horizontal="left" vertical="center" wrapText="1"/>
      <protection locked="0"/>
    </xf>
    <xf numFmtId="0" fontId="5" fillId="13" borderId="3" xfId="2" applyNumberFormat="1" applyFill="1" applyBorder="1" applyAlignment="1" applyProtection="1">
      <alignment horizontal="left" vertical="center" wrapText="1"/>
      <protection locked="0"/>
    </xf>
    <xf numFmtId="0" fontId="5" fillId="13" borderId="4" xfId="2" applyNumberFormat="1" applyFill="1" applyBorder="1" applyAlignment="1" applyProtection="1">
      <alignment horizontal="left" vertical="center" wrapText="1"/>
      <protection locked="0"/>
    </xf>
    <xf numFmtId="0" fontId="5" fillId="10" borderId="15" xfId="2" applyFill="1" applyBorder="1" applyAlignment="1" applyProtection="1">
      <alignment horizontal="left" vertical="center" wrapText="1"/>
    </xf>
    <xf numFmtId="0" fontId="5" fillId="10" borderId="0" xfId="2" applyFill="1" applyBorder="1" applyAlignment="1" applyProtection="1">
      <alignment horizontal="left" vertical="center" wrapText="1"/>
    </xf>
    <xf numFmtId="0" fontId="1" fillId="16" borderId="35" xfId="12" applyFont="1" applyFill="1" applyBorder="1" applyAlignment="1">
      <alignment horizontal="center"/>
    </xf>
    <xf numFmtId="0" fontId="1" fillId="16" borderId="17" xfId="12" applyFont="1" applyFill="1" applyBorder="1" applyAlignment="1">
      <alignment horizontal="center"/>
    </xf>
    <xf numFmtId="0" fontId="1" fillId="16" borderId="18" xfId="12" applyFont="1" applyFill="1" applyBorder="1" applyAlignment="1">
      <alignment horizontal="center"/>
    </xf>
    <xf numFmtId="0" fontId="37" fillId="0" borderId="59" xfId="12" applyFont="1" applyBorder="1" applyAlignment="1">
      <alignment horizontal="center" vertical="center" wrapText="1"/>
    </xf>
    <xf numFmtId="0" fontId="37" fillId="0" borderId="40" xfId="12" applyFont="1" applyBorder="1" applyAlignment="1">
      <alignment horizontal="center" vertical="center" wrapText="1"/>
    </xf>
    <xf numFmtId="0" fontId="33" fillId="4" borderId="26" xfId="2" applyFont="1" applyBorder="1" applyAlignment="1" applyProtection="1">
      <alignment horizontal="center" vertical="center" wrapText="1"/>
      <protection locked="0"/>
    </xf>
    <xf numFmtId="0" fontId="33" fillId="4" borderId="13" xfId="2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3" fontId="5" fillId="4" borderId="2" xfId="2" applyNumberFormat="1" applyBorder="1" applyAlignment="1" applyProtection="1">
      <alignment horizontal="center" vertical="center" wrapText="1"/>
      <protection locked="0"/>
    </xf>
    <xf numFmtId="3" fontId="5" fillId="4" borderId="3" xfId="2" applyNumberFormat="1" applyBorder="1" applyAlignment="1" applyProtection="1">
      <alignment horizontal="center" vertical="center" wrapText="1"/>
      <protection locked="0"/>
    </xf>
    <xf numFmtId="3" fontId="5" fillId="4" borderId="4" xfId="2" applyNumberForma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" fillId="16" borderId="36" xfId="12" applyFont="1" applyFill="1" applyBorder="1" applyAlignment="1">
      <alignment horizontal="center"/>
    </xf>
    <xf numFmtId="0" fontId="1" fillId="16" borderId="2" xfId="12" applyFont="1" applyFill="1" applyBorder="1" applyAlignment="1">
      <alignment horizontal="center"/>
    </xf>
    <xf numFmtId="0" fontId="1" fillId="16" borderId="3" xfId="12" applyFont="1" applyFill="1" applyBorder="1" applyAlignment="1">
      <alignment horizontal="center"/>
    </xf>
    <xf numFmtId="0" fontId="1" fillId="16" borderId="4" xfId="12" applyFont="1" applyFill="1" applyBorder="1" applyAlignment="1">
      <alignment horizontal="center"/>
    </xf>
    <xf numFmtId="0" fontId="37" fillId="0" borderId="6" xfId="12" applyFont="1" applyBorder="1" applyAlignment="1">
      <alignment horizontal="center" vertical="center" wrapText="1"/>
    </xf>
    <xf numFmtId="0" fontId="37" fillId="0" borderId="7" xfId="12" applyFont="1" applyBorder="1" applyAlignment="1">
      <alignment horizontal="center" vertical="center" wrapText="1"/>
    </xf>
    <xf numFmtId="0" fontId="37" fillId="0" borderId="8" xfId="12" applyFont="1" applyBorder="1" applyAlignment="1">
      <alignment horizontal="center" vertical="center" wrapText="1"/>
    </xf>
    <xf numFmtId="0" fontId="34" fillId="0" borderId="6" xfId="12" applyFont="1" applyBorder="1" applyAlignment="1">
      <alignment horizontal="center" vertical="center" wrapText="1"/>
    </xf>
    <xf numFmtId="0" fontId="34" fillId="0" borderId="7" xfId="12" applyFont="1" applyBorder="1" applyAlignment="1">
      <alignment horizontal="center" vertical="center" wrapText="1"/>
    </xf>
    <xf numFmtId="0" fontId="34" fillId="0" borderId="8" xfId="12" applyFont="1" applyBorder="1" applyAlignment="1">
      <alignment horizontal="center" vertical="center" wrapText="1"/>
    </xf>
    <xf numFmtId="0" fontId="1" fillId="16" borderId="27" xfId="12" applyFont="1" applyFill="1" applyBorder="1" applyAlignment="1">
      <alignment horizontal="center"/>
    </xf>
    <xf numFmtId="0" fontId="1" fillId="16" borderId="28" xfId="12" applyFont="1" applyFill="1" applyBorder="1" applyAlignment="1">
      <alignment horizontal="center"/>
    </xf>
    <xf numFmtId="0" fontId="1" fillId="16" borderId="29" xfId="12" applyFont="1" applyFill="1" applyBorder="1" applyAlignment="1">
      <alignment horizontal="center"/>
    </xf>
    <xf numFmtId="0" fontId="1" fillId="16" borderId="30" xfId="12" applyFont="1" applyFill="1" applyBorder="1" applyAlignment="1">
      <alignment horizontal="center"/>
    </xf>
    <xf numFmtId="0" fontId="1" fillId="16" borderId="31" xfId="12" applyFont="1" applyFill="1" applyBorder="1" applyAlignment="1">
      <alignment horizontal="center"/>
    </xf>
    <xf numFmtId="0" fontId="1" fillId="16" borderId="32" xfId="12" applyFont="1" applyFill="1" applyBorder="1" applyAlignment="1">
      <alignment horizontal="center"/>
    </xf>
    <xf numFmtId="0" fontId="1" fillId="16" borderId="33" xfId="12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7">
    <cellStyle name="Akzent4 2" xfId="4" xr:uid="{00000000-0005-0000-0000-000031000000}"/>
    <cellStyle name="Akzent5 2" xfId="5" xr:uid="{00000000-0005-0000-0000-000032000000}"/>
    <cellStyle name="Eingabe" xfId="2" builtinId="20"/>
    <cellStyle name="Eingabe 2" xfId="6" xr:uid="{00000000-0005-0000-0000-000033000000}"/>
    <cellStyle name="Gut" xfId="16" builtinId="26"/>
    <cellStyle name="Gut 2" xfId="7" xr:uid="{00000000-0005-0000-0000-000034000000}"/>
    <cellStyle name="Komma 2" xfId="8" xr:uid="{00000000-0005-0000-0000-000035000000}"/>
    <cellStyle name="Komma 3" xfId="13" xr:uid="{78903467-B0B1-4CB4-99BB-591E64EB8F68}"/>
    <cellStyle name="Link" xfId="1" builtinId="8"/>
    <cellStyle name="Link 2" xfId="9" xr:uid="{00000000-0005-0000-0000-000036000000}"/>
    <cellStyle name="Neutral 2" xfId="10" xr:uid="{00000000-0005-0000-0000-000037000000}"/>
    <cellStyle name="Prozent" xfId="15" builtinId="5"/>
    <cellStyle name="Prozent 2" xfId="11" xr:uid="{00000000-0005-0000-0000-000038000000}"/>
    <cellStyle name="Prozent 3" xfId="14" xr:uid="{11D15AE4-4EB6-468D-8361-49A9DC0F3B4D}"/>
    <cellStyle name="Standard" xfId="0" builtinId="0"/>
    <cellStyle name="Standard 2" xfId="3" xr:uid="{00000000-0005-0000-0000-000039000000}"/>
    <cellStyle name="Standard 3" xfId="12" xr:uid="{D91B3A81-C303-4573-B8E8-53D573ECA228}"/>
  </cellStyles>
  <dxfs count="93"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Medium9"/>
  <colors>
    <mruColors>
      <color rgb="FFE8F5F8"/>
      <color rgb="FFB7FBC9"/>
      <color rgb="FFD0FCDC"/>
      <color rgb="FFA0FAB8"/>
      <color rgb="FFB0F7FE"/>
      <color rgb="FFB4F3FA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76201</xdr:rowOff>
    </xdr:from>
    <xdr:to>
      <xdr:col>2</xdr:col>
      <xdr:colOff>1885950</xdr:colOff>
      <xdr:row>5</xdr:row>
      <xdr:rowOff>54319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1F25005-F950-BB13-D354-E53AABAA9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1"/>
          <a:ext cx="2714625" cy="93061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drian Burri" id="{08AF3486-928A-4111-9E02-2DEFAC0C228F}" userId="Adrian Burri" providerId="None"/>
  <person displayName="Adrian Burri" id="{5C411B46-6A05-4CBD-A5EE-D2BBA01FF429}" userId="S::a.burri@enerprice.ch::ca5f95d2-2417-4c4f-8a44-f1d557a40b0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65C81C-ECEF-494D-9A8C-4B976C03B314}" name="Massnahme" displayName="Massnahme" ref="B1:E9" totalsRowShown="0">
  <autoFilter ref="B1:E9" xr:uid="{0C65C81C-ECEF-494D-9A8C-4B976C03B314}"/>
  <tableColumns count="4">
    <tableColumn id="1" xr3:uid="{A1ECA8D5-2BC4-4916-894D-5E317D425B03}" name="DE"/>
    <tableColumn id="2" xr3:uid="{38572B9A-9FFB-4344-8B51-4DE563AE7AA1}" name="FR"/>
    <tableColumn id="3" xr3:uid="{EB65E555-F921-4C12-8A2E-2D8090CB233A}" name="IT"/>
    <tableColumn id="4" xr3:uid="{1A4D24B2-199A-4FBB-9CEF-852EE455F617}" name="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A1EECD-7D23-4867-AB10-D9B11F00CDD6}" name="Anrede" displayName="Anrede" ref="B12:E15" totalsRowShown="0" headerRowDxfId="92" headerRowBorderDxfId="91" tableBorderDxfId="90" totalsRowBorderDxfId="89">
  <autoFilter ref="B12:E15" xr:uid="{91A1EECD-7D23-4867-AB10-D9B11F00CDD6}"/>
  <tableColumns count="4">
    <tableColumn id="1" xr3:uid="{600A3071-65ED-4CC2-97B4-0D2D06AE51C0}" name="DE"/>
    <tableColumn id="2" xr3:uid="{E585932E-3A88-4B85-BCBC-F3B7F144DDD8}" name="FR"/>
    <tableColumn id="3" xr3:uid="{0011C9E6-D379-4087-8752-AEF03483B642}" name="IT"/>
    <tableColumn id="4" xr3:uid="{4B6CCD30-E746-4A9C-B3F2-623E8D388077}" name="E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59D09B-3D10-4796-AD8F-7D716A3C5815}" name="Messung" displayName="Messung" ref="H1:K5" totalsRowShown="0" headerRowDxfId="88" headerRowBorderDxfId="87" tableBorderDxfId="86">
  <autoFilter ref="H1:K5" xr:uid="{1C59D09B-3D10-4796-AD8F-7D716A3C5815}"/>
  <tableColumns count="4">
    <tableColumn id="1" xr3:uid="{D3B08E37-A6EA-48F6-9F24-1AA385FA27EA}" name="DE"/>
    <tableColumn id="2" xr3:uid="{8FF19363-2487-4FE2-9CAC-004DCBE81B13}" name="FR"/>
    <tableColumn id="3" xr3:uid="{CF1C17C0-0EBB-482E-A70B-DD03AF5DB730}" name="IT"/>
    <tableColumn id="4" xr3:uid="{2FAF7989-0B05-4FDC-A663-9C0043EF6C75}" name="E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5F7EC9-FEBE-4482-8456-B4C336759869}" name="Förderbedingungen" displayName="Förderbedingungen" ref="N1:Q5" totalsRowShown="0" headerRowDxfId="85" headerRowBorderDxfId="84" tableBorderDxfId="83">
  <autoFilter ref="N1:Q5" xr:uid="{345F7EC9-FEBE-4482-8456-B4C336759869}"/>
  <tableColumns count="4">
    <tableColumn id="1" xr3:uid="{B322FEE3-A04A-45B8-A0FC-FCB7B6064EA8}" name="DE"/>
    <tableColumn id="2" xr3:uid="{533A9E7B-9E8E-4597-A8C0-CE8B45B76EBB}" name="FR"/>
    <tableColumn id="3" xr3:uid="{02DB7F44-0EAA-4BD0-95DE-6A67491FDEA7}" name="IT"/>
    <tableColumn id="4" xr3:uid="{DC6FD147-4415-4847-99DF-86E15A6A59FC}" name="E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25A0935-0087-4220-B7A8-F3D8991AF2BF}" name="janein" displayName="janein" ref="B17:E20" totalsRowShown="0" headerRowDxfId="82" headerRowBorderDxfId="81" tableBorderDxfId="80">
  <autoFilter ref="B17:E20" xr:uid="{A25A0935-0087-4220-B7A8-F3D8991AF2BF}"/>
  <tableColumns count="4">
    <tableColumn id="1" xr3:uid="{91F7FFF8-2F3A-4DDA-9F5B-5D5DBB8ED61F}" name="DE"/>
    <tableColumn id="2" xr3:uid="{739ED2D9-6FF6-411D-96E3-7BBF5AEC2D0C}" name="FR"/>
    <tableColumn id="3" xr3:uid="{640D8095-3CF1-4FD6-BE33-B54EFB297A40}" name="IT"/>
    <tableColumn id="4" xr3:uid="{F4D4919F-E128-4338-ABD6-DED85559FB84}" name="E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B475306-21E9-4A24-8AA3-6397908E172A}" name="Kontaktdaten" displayName="Kontaktdaten" ref="H9:K17" totalsRowShown="0" headerRowDxfId="79" headerRowBorderDxfId="78" tableBorderDxfId="77">
  <autoFilter ref="H9:K17" xr:uid="{3B475306-21E9-4A24-8AA3-6397908E172A}"/>
  <tableColumns count="4">
    <tableColumn id="1" xr3:uid="{CF6839CC-1E68-4D02-BF46-1E06E4F0FAB2}" name="DE"/>
    <tableColumn id="2" xr3:uid="{F1EEA63A-061A-4226-8166-3D8CC94944C3}" name="FR"/>
    <tableColumn id="3" xr3:uid="{3FFEB99D-1A80-4F86-8896-1FB40AF6B91C}" name="IT"/>
    <tableColumn id="4" xr3:uid="{07857D21-76CC-4211-A617-57EA31AA1984}" name="E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F8A7A4C-B651-4BBE-A970-76D87D73DD92}" name="Einsparungen" displayName="Einsparungen" ref="N9:Q36" totalsRowShown="0" headerRowDxfId="76" headerRowBorderDxfId="75" tableBorderDxfId="74">
  <autoFilter ref="N9:Q36" xr:uid="{DF8A7A4C-B651-4BBE-A970-76D87D73DD92}"/>
  <tableColumns count="4">
    <tableColumn id="1" xr3:uid="{D646E2D5-04A4-4663-97C3-12773B6F6750}" name="DE"/>
    <tableColumn id="2" xr3:uid="{CA403620-A3DC-4AD8-8EDD-1F45A1BEA77B}" name="FR"/>
    <tableColumn id="3" xr3:uid="{F6808E13-B84C-473F-93B1-AE15DF1C0E27}" name="IT"/>
    <tableColumn id="4" xr3:uid="{98E6B3C4-56C7-4618-8D03-7AA09EAEA928}" name="E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E93841F-D714-4F02-B6C8-B65B9B2452E1}" name="sonstiges" displayName="sonstiges" ref="B26:E54" totalsRowShown="0" headerRowDxfId="73" headerRowBorderDxfId="72" tableBorderDxfId="71">
  <autoFilter ref="B26:E54" xr:uid="{1E93841F-D714-4F02-B6C8-B65B9B2452E1}"/>
  <tableColumns count="4">
    <tableColumn id="1" xr3:uid="{34C580FD-4AFF-4369-9586-131497CEB1D0}" name="DE"/>
    <tableColumn id="2" xr3:uid="{13CE8FC7-6F8A-489B-8922-3C27245173F1}" name="FR"/>
    <tableColumn id="3" xr3:uid="{F6ACAFB0-70EE-4616-9665-3442B56B7FAC}" name="IT"/>
    <tableColumn id="4" xr3:uid="{756AD743-3B3F-48FD-8CC7-FC8712C17F40}" name="E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F425F4D-09E9-4E22-919B-496FB325D360}" name="KontrolleAnforderungen" displayName="KontrolleAnforderungen" ref="V1:Y5" totalsRowShown="0" headerRowDxfId="70" headerRowBorderDxfId="69" tableBorderDxfId="68">
  <autoFilter ref="V1:Y5" xr:uid="{0F425F4D-09E9-4E22-919B-496FB325D360}"/>
  <tableColumns count="4">
    <tableColumn id="1" xr3:uid="{4F6E0BFB-564C-4526-BF0D-D7A299EBCA16}" name="DE"/>
    <tableColumn id="2" xr3:uid="{C36A7D26-30CB-4B50-8396-0261AC99F9FC}" name="FR"/>
    <tableColumn id="3" xr3:uid="{23F36FA4-A51A-44D2-8C3D-0A07D85370E1}" name="IT"/>
    <tableColumn id="4" xr3:uid="{41C3C895-436A-4DBF-9909-47020BA79323}" name="E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0EAC045-62A2-47CE-AF20-A1541A03AE2C}" name="Vermittler" displayName="Vermittler" ref="H22:K24" totalsRowShown="0" headerRowDxfId="67" dataDxfId="65" headerRowBorderDxfId="66" tableBorderDxfId="64" totalsRowBorderDxfId="63">
  <autoFilter ref="H22:K24" xr:uid="{50EAC045-62A2-47CE-AF20-A1541A03AE2C}"/>
  <tableColumns count="4">
    <tableColumn id="1" xr3:uid="{4CE24BD0-554B-4509-9216-F8E4E836FD3A}" name="DE" dataDxfId="62"/>
    <tableColumn id="2" xr3:uid="{B926916E-BFDF-470F-8275-66F662ECEDF8}" name="FR" dataDxfId="61"/>
    <tableColumn id="3" xr3:uid="{FAD6B392-BB92-4166-97D8-FA04C2D70F51}" name="IT" dataDxfId="60"/>
    <tableColumn id="4" xr3:uid="{86DF165F-CEE6-4CE3-AA2F-5759B396AE19}" name="EN" dataDxfId="5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5BA11C1-1620-4B63-9AE7-EFB5E305FCB7}" name="Hinweise" displayName="Hinweise" ref="H28:K34" totalsRowShown="0" headerRowDxfId="58" headerRowBorderDxfId="57" tableBorderDxfId="56">
  <autoFilter ref="H28:K34" xr:uid="{B5BA11C1-1620-4B63-9AE7-EFB5E305FCB7}"/>
  <tableColumns count="4">
    <tableColumn id="1" xr3:uid="{DBFFE864-8BB6-45CE-B48C-412F695AB2E9}" name="DE"/>
    <tableColumn id="2" xr3:uid="{AB4DF55D-985C-450E-BFA9-7341B03E8E5A}" name="FR"/>
    <tableColumn id="3" xr3:uid="{F823741F-3DF1-4472-B2C9-F012CBCB430E}" name="IT"/>
    <tableColumn id="4" xr3:uid="{70524B01-0574-4EEE-8656-9E0292D68BBB}" name="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6" dT="2022-11-21T06:36:16.49" personId="{08AF3486-928A-4111-9E02-2DEFAC0C228F}" id="{B35D7AAF-63F9-4361-ADAB-40F8994CD2EE}">
    <text>Nur für Motorersatz 25 Jahre</text>
  </threadedComment>
  <threadedComment ref="C38" dT="2022-11-21T06:36:40.94" personId="{08AF3486-928A-4111-9E02-2DEFAC0C228F}" id="{E94A87A2-DA5B-4841-B4D5-D8D9D2A63400}">
    <text>FU wird bei Einsparungen dazu gerechnet, da nur 15 Jahre Wirkungsdauer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5" dT="2023-02-27T06:05:50.30" personId="{5C411B46-6A05-4CBD-A5EE-D2BBA01FF429}" id="{C8966160-2BFF-4E45-BBA7-5E49BCAB6211}">
    <text>Einsparungen FU mit Faktor 15/25 multiplizieren, da Einsparungen Motor mit 25 Jahren angerechnet werden können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3" dT="2020-04-08T14:58:49.62" personId="{00000000-0000-0000-0000-000000000000}" id="{8E9B42B5-E211-4C3B-9E9C-FB2575FBBDD8}">
    <text>Pumpen über 500W werden als "Trockenläufer" berechnet!</text>
  </threadedComment>
  <threadedComment ref="G3" dT="2022-09-26T08:14:12.52" personId="{08AF3486-928A-4111-9E02-2DEFAC0C228F}" id="{3B1C15FC-2D10-4FA2-865A-91AAD0EE57BF}">
    <text>Durchschnittlicher Volumenstrom im Vergleich zum Volumenstrom bei Volllast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X3" dT="2020-07-08T06:42:14.80" personId="{00000000-0000-0000-0000-000000000000}" id="{1AB868C9-DB10-4CD0-B5DC-10EA0A9408C3}">
    <text>Wird lediglich das Leuchtmittel ersetzt, müssen zusätzliche oder integrierte Sensoren  verbaut werden.</text>
  </threadedComment>
  <threadedComment ref="Z3" dT="2020-07-08T06:42:23.86" personId="{00000000-0000-0000-0000-000000000000}" id="{D0A1D3DB-8478-45EB-9244-588A8BEFA472}">
    <text>Wird lediglich das Leuchtmittel ersetzt, müssen zusätzliche oder integrierte Sensoren  verbaut werden.</text>
  </threadedComment>
  <threadedComment ref="C46" dT="2020-04-15T14:00:56.13" personId="{00000000-0000-0000-0000-000000000000}" id="{0712A4D4-D6B8-465C-BF78-B47DD425C514}">
    <text>Max. 300'000 Fr. pro Liegenschaft förderbar!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9" dT="2022-08-26T06:46:28.98" personId="{08AF3486-928A-4111-9E02-2DEFAC0C228F}" id="{EEFBD245-E4FD-4328-B1BC-077F1DD1E7B3}">
    <text>tendenziell tiefer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prokibe.enerprice.ch/antrag-herunterladen-de/" TargetMode="External"/><Relationship Id="rId1" Type="http://schemas.openxmlformats.org/officeDocument/2006/relationships/hyperlink" Target="mailto:prokibe@enerprice-partners.ch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roimmo@enerprice-partners.ch" TargetMode="External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V137"/>
  <sheetViews>
    <sheetView tabSelected="1" topLeftCell="A14" zoomScaleNormal="100" workbookViewId="0">
      <selection activeCell="D44" sqref="D44"/>
    </sheetView>
  </sheetViews>
  <sheetFormatPr baseColWidth="10" defaultColWidth="9.28515625" defaultRowHeight="15"/>
  <cols>
    <col min="1" max="1" width="2.28515625" style="34" customWidth="1"/>
    <col min="2" max="2" width="13" customWidth="1"/>
    <col min="3" max="3" width="57.7109375" bestFit="1" customWidth="1"/>
    <col min="4" max="4" width="12.85546875" customWidth="1"/>
    <col min="5" max="5" width="9" customWidth="1"/>
    <col min="6" max="6" width="11.7109375" customWidth="1"/>
    <col min="7" max="7" width="14.28515625" customWidth="1"/>
    <col min="8" max="8" width="34.85546875" style="34" customWidth="1"/>
    <col min="9" max="9" width="19.42578125" style="34" bestFit="1" customWidth="1"/>
    <col min="10" max="10" width="28.5703125" style="34" customWidth="1"/>
    <col min="11" max="11" width="7.5703125" hidden="1" customWidth="1"/>
    <col min="12" max="48" width="9.28515625" style="34"/>
  </cols>
  <sheetData>
    <row r="1" spans="1:14">
      <c r="B1" s="34"/>
      <c r="C1" s="34"/>
      <c r="D1" s="34"/>
      <c r="E1" s="34"/>
      <c r="F1" s="34"/>
      <c r="G1" s="34"/>
      <c r="J1" s="33"/>
      <c r="K1" s="21"/>
      <c r="L1" s="33"/>
      <c r="M1" s="33"/>
      <c r="N1" s="33"/>
    </row>
    <row r="2" spans="1:14" ht="16.5" customHeight="1">
      <c r="B2" s="52"/>
      <c r="C2" s="52"/>
      <c r="D2" s="53"/>
      <c r="E2" s="34"/>
      <c r="F2" s="34"/>
      <c r="G2" s="34"/>
      <c r="J2" s="33"/>
      <c r="K2" s="6"/>
      <c r="L2" s="33"/>
      <c r="M2" s="33"/>
      <c r="N2" s="33"/>
    </row>
    <row r="3" spans="1:14" ht="15" customHeight="1">
      <c r="B3" s="52"/>
      <c r="C3" s="52"/>
      <c r="D3" s="51" t="str" cm="1">
        <f t="array" ref="D3">INDEX(sonstiges[#All],2,Sprachen!F22)</f>
        <v>Sprache</v>
      </c>
      <c r="E3" s="42" t="s">
        <v>25</v>
      </c>
      <c r="F3" s="34"/>
      <c r="G3" s="40" t="str" cm="1">
        <f t="array" ref="G3">INDEX(sonstiges[#All],16,Sprachen!F22)</f>
        <v>Eingabe</v>
      </c>
      <c r="J3" s="33"/>
      <c r="K3" s="6"/>
      <c r="L3" s="33"/>
      <c r="M3" s="33"/>
      <c r="N3" s="33"/>
    </row>
    <row r="4" spans="1:14" ht="14.25" customHeight="1">
      <c r="B4" s="34"/>
      <c r="C4" s="34"/>
      <c r="D4" s="51"/>
      <c r="E4" s="34"/>
      <c r="F4" s="34"/>
      <c r="G4" s="41" t="str" cm="1">
        <f t="array" ref="G4">INDEX(sonstiges[#All],17,Sprachen!F22)</f>
        <v>Dropdown</v>
      </c>
      <c r="J4" s="33"/>
      <c r="K4" s="6"/>
      <c r="L4" s="33"/>
      <c r="M4" s="33"/>
      <c r="N4" s="33"/>
    </row>
    <row r="5" spans="1:14" ht="14.25" customHeight="1">
      <c r="A5" s="46"/>
      <c r="B5" s="34"/>
      <c r="C5" s="34"/>
      <c r="D5" s="34"/>
      <c r="E5" s="34"/>
      <c r="F5" s="34"/>
      <c r="G5" s="34"/>
      <c r="J5" s="33"/>
      <c r="K5" s="6"/>
      <c r="L5" s="33"/>
      <c r="M5" s="33"/>
      <c r="N5" s="33"/>
    </row>
    <row r="6" spans="1:14" s="34" customFormat="1" ht="9" customHeight="1">
      <c r="A6" s="46"/>
      <c r="D6" s="47"/>
      <c r="J6" s="33"/>
      <c r="K6" s="33"/>
      <c r="L6" s="33"/>
      <c r="M6" s="33"/>
      <c r="N6" s="33"/>
    </row>
    <row r="7" spans="1:14" s="34" customFormat="1" ht="24" customHeight="1">
      <c r="A7" s="46"/>
      <c r="B7" s="48" t="str" cm="1">
        <f t="array" ref="B7">INDEX(sonstiges[#All],3,Sprachen!F22)</f>
        <v>Anmeldung einer Massnahme</v>
      </c>
      <c r="D7" s="49"/>
      <c r="J7" s="33"/>
      <c r="K7" s="50">
        <v>1</v>
      </c>
      <c r="L7" s="33"/>
      <c r="M7" s="33"/>
      <c r="N7" s="33"/>
    </row>
    <row r="8" spans="1:14" s="34" customFormat="1" ht="5.45" customHeight="1">
      <c r="J8" s="33"/>
      <c r="K8" s="33"/>
      <c r="L8" s="33"/>
      <c r="M8" s="33"/>
      <c r="N8" s="33"/>
    </row>
    <row r="9" spans="1:14" ht="19.5" customHeight="1">
      <c r="A9" s="55"/>
      <c r="B9" s="279" t="str" cm="1">
        <f t="array" ref="B9">INDEX(sonstiges[#All],4,Sprachen!F22)</f>
        <v>Kontaktdaten (Endbegünstigter)</v>
      </c>
      <c r="C9" s="7" t="str" cm="1">
        <f t="array" aca="1" ref="C9:C16" ca="1">INDIRECT("Kontaktdaten"&amp;"["&amp;INDIRECT("Anmeldung!E3")&amp;"]")</f>
        <v>Firma</v>
      </c>
      <c r="D9" s="320"/>
      <c r="E9" s="320"/>
      <c r="F9" s="320"/>
      <c r="G9" s="320"/>
      <c r="H9" s="235"/>
      <c r="I9" s="235"/>
      <c r="J9" s="33"/>
      <c r="K9" s="6"/>
      <c r="L9" s="33"/>
      <c r="M9" s="33"/>
      <c r="N9" s="33"/>
    </row>
    <row r="10" spans="1:14" ht="19.5" customHeight="1">
      <c r="A10" s="55"/>
      <c r="B10" s="280"/>
      <c r="C10" s="7" t="str">
        <f ca="1"/>
        <v>Adresse</v>
      </c>
      <c r="D10" s="321"/>
      <c r="E10" s="292"/>
      <c r="F10" s="292"/>
      <c r="G10" s="293"/>
      <c r="H10" s="235"/>
      <c r="I10" s="235"/>
      <c r="J10" s="33"/>
      <c r="K10" s="6"/>
      <c r="L10" s="33"/>
      <c r="M10" s="33"/>
      <c r="N10" s="33"/>
    </row>
    <row r="11" spans="1:14" ht="19.5" customHeight="1">
      <c r="A11" s="55"/>
      <c r="B11" s="280"/>
      <c r="C11" s="7" t="str">
        <f ca="1"/>
        <v>PLZ Ort</v>
      </c>
      <c r="D11" s="321"/>
      <c r="E11" s="292"/>
      <c r="F11" s="292"/>
      <c r="G11" s="293"/>
      <c r="H11" s="235"/>
      <c r="I11" s="235"/>
    </row>
    <row r="12" spans="1:14" ht="19.5" customHeight="1">
      <c r="A12" s="55"/>
      <c r="B12" s="280"/>
      <c r="C12" s="7" t="str">
        <f ca="1"/>
        <v>Anrede</v>
      </c>
      <c r="D12" s="37" t="s">
        <v>130</v>
      </c>
      <c r="E12" s="34"/>
      <c r="F12" s="34"/>
      <c r="G12" s="34"/>
      <c r="H12" s="235"/>
      <c r="I12" s="235"/>
    </row>
    <row r="13" spans="1:14" ht="19.5" customHeight="1">
      <c r="A13" s="55"/>
      <c r="B13" s="280"/>
      <c r="C13" s="7" t="str">
        <f ca="1"/>
        <v>Kontaktperson Name</v>
      </c>
      <c r="D13" s="321"/>
      <c r="E13" s="293"/>
      <c r="F13" s="22" t="str" cm="1">
        <f t="array" ref="F13">INDEX(sonstiges[#All],8,Sprachen!F22)</f>
        <v>Vorname</v>
      </c>
      <c r="G13" s="36"/>
      <c r="H13" s="235"/>
      <c r="I13" s="235"/>
    </row>
    <row r="14" spans="1:14" ht="19.5" customHeight="1">
      <c r="A14" s="55"/>
      <c r="B14" s="280"/>
      <c r="C14" s="7" t="str">
        <f ca="1"/>
        <v>Telefon</v>
      </c>
      <c r="D14" s="322"/>
      <c r="E14" s="323"/>
      <c r="F14" s="323"/>
      <c r="G14" s="324"/>
      <c r="H14" s="235"/>
      <c r="I14" s="235"/>
    </row>
    <row r="15" spans="1:14" ht="19.5" customHeight="1">
      <c r="A15" s="55"/>
      <c r="B15" s="280"/>
      <c r="C15" s="7" t="str">
        <f ca="1"/>
        <v>Email</v>
      </c>
      <c r="D15" s="291"/>
      <c r="E15" s="292"/>
      <c r="F15" s="292"/>
      <c r="G15" s="293"/>
      <c r="H15" s="235"/>
      <c r="I15" s="235"/>
    </row>
    <row r="16" spans="1:14" ht="19.5" customHeight="1">
      <c r="A16" s="55"/>
      <c r="B16" s="280"/>
      <c r="C16" s="7" t="str">
        <f ca="1"/>
        <v>IBAN (Banknummer)</v>
      </c>
      <c r="D16" s="325"/>
      <c r="E16" s="326"/>
      <c r="F16" s="326"/>
      <c r="G16" s="327"/>
      <c r="H16" s="235"/>
      <c r="I16" s="235"/>
    </row>
    <row r="17" spans="1:15" ht="19.5" hidden="1" customHeight="1">
      <c r="A17" s="55"/>
      <c r="B17" s="281"/>
      <c r="C17" s="7"/>
      <c r="D17" s="325"/>
      <c r="E17" s="326"/>
      <c r="F17" s="326"/>
      <c r="G17" s="327"/>
      <c r="H17" s="235"/>
      <c r="I17" s="235"/>
    </row>
    <row r="18" spans="1:15" s="34" customFormat="1">
      <c r="A18" s="55"/>
      <c r="H18" s="235"/>
      <c r="I18" s="235"/>
    </row>
    <row r="19" spans="1:15" ht="19.5" customHeight="1">
      <c r="B19" s="319" t="str" cm="1">
        <f t="array" ref="B19">INDEX(sonstiges[#All],15,Sprachen!F22)</f>
        <v>Vermittler (optional)</v>
      </c>
      <c r="C19" s="8" t="str" cm="1">
        <f t="array" aca="1" ref="C19:C20" ca="1">INDIRECT("Vermittler"&amp;"["&amp;INDIRECT("Anmeldung!E3")&amp;"]")</f>
        <v>Name</v>
      </c>
      <c r="D19" s="288"/>
      <c r="E19" s="289"/>
      <c r="F19" s="289"/>
      <c r="G19" s="290"/>
      <c r="H19" s="235"/>
      <c r="I19" s="235"/>
      <c r="J19" s="33"/>
      <c r="K19" s="6"/>
      <c r="L19" s="33"/>
      <c r="M19" s="33"/>
      <c r="N19" s="33"/>
    </row>
    <row r="20" spans="1:15" ht="19.5" customHeight="1">
      <c r="B20" s="319"/>
      <c r="C20" s="8" t="str">
        <f ca="1"/>
        <v>Email</v>
      </c>
      <c r="D20" s="291"/>
      <c r="E20" s="292"/>
      <c r="F20" s="292"/>
      <c r="G20" s="293"/>
      <c r="H20" s="235"/>
      <c r="I20" s="235"/>
      <c r="J20" s="33"/>
      <c r="K20" s="6"/>
      <c r="L20" s="33"/>
      <c r="M20" s="33"/>
      <c r="N20" s="33"/>
    </row>
    <row r="21" spans="1:15" s="34" customFormat="1">
      <c r="H21" s="235"/>
      <c r="I21" s="235"/>
      <c r="J21" s="33"/>
      <c r="K21" s="33"/>
      <c r="L21" s="33"/>
      <c r="M21" s="33"/>
      <c r="N21" s="33"/>
    </row>
    <row r="22" spans="1:15" ht="19.5" hidden="1" customHeight="1">
      <c r="B22" s="279" t="str" cm="1">
        <f t="array" ref="B22">INDEX(sonstiges[#All],5,Sprachen!F22)</f>
        <v>Massnahmen</v>
      </c>
      <c r="C22" s="3" t="str" cm="1">
        <f t="array" ref="C22">INDEX(Einsparungen[#All],2,Sprachen!F22)</f>
        <v>Einsparberechnung basiert auf:</v>
      </c>
      <c r="D22" s="308" t="s">
        <v>130</v>
      </c>
      <c r="E22" s="309"/>
      <c r="F22" s="309"/>
      <c r="G22" s="310"/>
      <c r="H22" s="235"/>
      <c r="I22" s="235"/>
      <c r="J22" s="65"/>
      <c r="K22">
        <f>IF(OR(D22=Sprachen!H5,D22=Sprachen!I5,D22=Sprachen!J5,D22=Sprachen!K5),1,0)</f>
        <v>0</v>
      </c>
      <c r="L22" s="62" t="str" cm="1">
        <f t="array" ref="L22">IF(D22=INDEX(Messung[#All],2,Sprachen!F22),INDEX(sonstiges[#All],25,Sprachen!F22),IF(D22=INDEX(Messung[#All],3,Sprachen!F22),INDEX(sonstiges[#All],26,Sprachen!F22),IF(D22=INDEX(Messung[#All],4,Sprachen!F22),INDEX(sonstiges[#All],27,Sprachen!F22),"")))</f>
        <v>Bitte Art der Einsparermittlung auswählen</v>
      </c>
    </row>
    <row r="23" spans="1:15" ht="21.75" customHeight="1">
      <c r="B23" s="280"/>
      <c r="C23" s="4" t="str" cm="1">
        <f t="array" ref="C23">INDEX(Einsparungen[#All],3,Sprachen!F22)</f>
        <v>Massnahme</v>
      </c>
      <c r="D23" s="305" t="s">
        <v>130</v>
      </c>
      <c r="E23" s="306"/>
      <c r="F23" s="306"/>
      <c r="G23" s="307"/>
      <c r="H23" s="328" t="str" cm="1">
        <f t="array" ref="H23">IF(Anmeldung!K23=3,INDEX(Hinweise[#All],5,Sprachen!F22),IF(Anmeldung!K23=4,INDEX(Hinweise[#All],6,Sprachen!F22),IF(Anmeldung!K23=1,INDEX(Hinweise[#All],7,Sprachen!F22),"")))</f>
        <v/>
      </c>
      <c r="I23" s="329"/>
      <c r="J23" s="329"/>
      <c r="K23">
        <f>IF(OR(D23=Sprachen!B3,D23=Sprachen!C3,D23=Sprachen!D3,D23=Sprachen!E3),1,IF(OR(D23=Sprachen!B4,D23=Sprachen!C4,D23=Sprachen!D4,D23=Sprachen!E4),2,IF(OR(D23=Sprachen!B5,D23=Sprachen!C5,D23=Sprachen!D5,D23=Sprachen!E5),3,IF(OR(D23=Sprachen!B6,D23=Sprachen!C6,D23=Sprachen!D6,D23=Sprachen!E6),4,IF(OR(D23=Sprachen!B7,D23=Sprachen!C7,D23=Sprachen!D7,D23=Sprachen!E7),5,IF(OR(D23=Sprachen!B8,D23=Sprachen!C8,D23=Sprachen!D8,D23=Sprachen!E8),6,IF(OR(D23=Sprachen!B9,D23=Sprachen!C9,D23=Sprachen!D9,D23=Sprachen!E9),7,0)))))))</f>
        <v>0</v>
      </c>
      <c r="L23" s="62"/>
    </row>
    <row r="24" spans="1:15" ht="19.5" customHeight="1">
      <c r="B24" s="280"/>
      <c r="C24" s="4" t="str" cm="1">
        <f t="array" ref="C24">IF(Anmeldung!K23=2,INDEX(Einsparungen[#All],7,Sprachen!F22),IF(OR(Anmeldung!K23=1,Anmeldung!K23=3,Anmeldung!K23=4,Anmeldung!K23=5,Anmeldung!K23=6),INDEX(Einsparungen[#All],4,Sprachen!F22),IF(Anmeldung!K23=7,INDEX(Einsparungen[#All],23,Sprachen!F22),"")))</f>
        <v/>
      </c>
      <c r="D24" s="296"/>
      <c r="E24" s="297"/>
      <c r="F24" s="297"/>
      <c r="G24" s="298"/>
      <c r="H24" s="228" t="str" cm="1">
        <f t="array" ref="H24">IF(Anmeldung!K23&gt;0,INDEX(Einsparungen[#All],16,Sprachen!F22),"")</f>
        <v/>
      </c>
      <c r="I24" s="238"/>
      <c r="L24" s="62" t="str" cm="1">
        <f t="array" ref="L24">IF(AND(K22=1,D24&gt;15),INDEX(sonstiges[#All],22,Sprachen!F22),IF(AND(K22=1,D24&gt;0,D24&lt;6),INDEX(sonstiges[#All],23,Sprachen!F22),""))</f>
        <v/>
      </c>
    </row>
    <row r="25" spans="1:15" ht="19.5" customHeight="1">
      <c r="B25" s="280"/>
      <c r="C25" s="4" t="str" cm="1">
        <f t="array" ref="C25">IF(Anmeldung!K23=2,INDEX(Einsparungen[#All],18,Sprachen!F22),IF(OR(Anmeldung!K23=1,Anmeldung!K23=3,Anmeldung!K23=4,Anmeldung!K23=5,Anmeldung!K23=6),INDEX(Einsparungen[#All],5,Sprachen!F22),IF(Anmeldung!K23=7,INDEX(Einsparungen[#All],25,Sprachen!F22),"")))</f>
        <v/>
      </c>
      <c r="D25" s="299"/>
      <c r="E25" s="300"/>
      <c r="F25" s="300"/>
      <c r="G25" s="301"/>
      <c r="H25" s="231" t="str" cm="1">
        <f t="array" ref="H25">IF(K23=2,INDEX(Einsparungen[#All],8,Sprachen!F22),IF(K23=7,INDEX(Einsparungen[#All],27,Sprachen!F22),""))</f>
        <v/>
      </c>
      <c r="I25" s="239"/>
      <c r="K25" t="b">
        <f>IF(AND(K22=1,D24&lt;16,D24&gt;5),IF(D25&lt;4,D24*D25*1200+D24*D25*0.3*1200,0))</f>
        <v>0</v>
      </c>
      <c r="L25" s="62" t="str" cm="1">
        <f t="array" ref="L25">IF(AND(K22=1,D25&gt;3),INDEX(sonstiges[#All],24,Sprachen!F22),"")</f>
        <v/>
      </c>
      <c r="O25" s="227"/>
    </row>
    <row r="26" spans="1:15" ht="19.5" customHeight="1">
      <c r="B26" s="280"/>
      <c r="C26" s="4" t="str" cm="1">
        <f t="array" ref="C26">IF(K23=2,INDEX(Einsparungen[#All],12,Sprachen!F22),IF(K23=7,INDEX(Einsparungen[#All],24,Sprachen!F22),""))</f>
        <v/>
      </c>
      <c r="D26" s="299"/>
      <c r="E26" s="300"/>
      <c r="F26" s="300"/>
      <c r="G26" s="301"/>
      <c r="H26" s="231" t="str" cm="1">
        <f t="array" ref="H26">IF(Anmeldung!K23=2,INDEX(Einsparungen[#All],20,Sprachen!F22),IF(Anmeldung!K23=7,INDEX(Einsparungen[#All],28,Sprachen!F22),""))</f>
        <v/>
      </c>
      <c r="I26" s="239"/>
      <c r="L26" s="62"/>
    </row>
    <row r="27" spans="1:15" ht="19.5" customHeight="1">
      <c r="B27" s="280"/>
      <c r="C27" s="4" t="str" cm="1">
        <f t="array" ref="C27">IF(Anmeldung!K23=2,INDEX(Einsparungen[#All],10,Sprachen!F22),IF(Anmeldung!K23=7,INDEX(Einsparungen[#All],26,Sprachen!F22),""))</f>
        <v/>
      </c>
      <c r="D27" s="299"/>
      <c r="E27" s="300"/>
      <c r="F27" s="300"/>
      <c r="G27" s="301"/>
      <c r="H27" s="231"/>
      <c r="I27" s="72"/>
      <c r="L27" s="62"/>
    </row>
    <row r="28" spans="1:15" ht="19.5" customHeight="1">
      <c r="B28" s="280"/>
      <c r="C28" s="4" t="str" cm="1">
        <f t="array" ref="C28">IF(Anmeldung!K23=2,INDEX(Einsparungen[#All],21,Sprachen!F22),"")</f>
        <v/>
      </c>
      <c r="D28" s="296"/>
      <c r="E28" s="297"/>
      <c r="F28" s="297"/>
      <c r="G28" s="298"/>
      <c r="H28" s="231" t="str" cm="1">
        <f t="array" ref="H28">IF(Anmeldung!K23=2,INDEX(Einsparungen[#All],15,Sprachen!F22),"")</f>
        <v/>
      </c>
      <c r="I28" s="234"/>
      <c r="L28" s="62"/>
    </row>
    <row r="29" spans="1:15" ht="19.5" customHeight="1">
      <c r="B29" s="280"/>
      <c r="C29" s="4" t="str" cm="1">
        <f t="array" ref="C29">IF(AND(Anmeldung!K23=2,I28="Drosselschaltung"),INDEX(Einsparungen[#All],22,Sprachen!F22),"")</f>
        <v/>
      </c>
      <c r="D29" s="296"/>
      <c r="E29" s="297"/>
      <c r="F29" s="297"/>
      <c r="G29" s="298"/>
      <c r="H29" s="235"/>
      <c r="I29" s="235"/>
      <c r="L29" s="62"/>
    </row>
    <row r="30" spans="1:15" ht="18.75" customHeight="1">
      <c r="B30" s="281"/>
      <c r="C30" s="5" t="str" cm="1">
        <f t="array" ref="C30">INDEX(Einsparungen[#All],6,Sprachen!F22)</f>
        <v>Energieeinsparung (Strom) [kWh]</v>
      </c>
      <c r="D30" s="302">
        <f>SUM(C38:J38)</f>
        <v>2.75E-2</v>
      </c>
      <c r="E30" s="303"/>
      <c r="F30" s="303"/>
      <c r="G30" s="304"/>
      <c r="H30" s="235"/>
      <c r="I30" s="235"/>
    </row>
    <row r="31" spans="1:15" ht="19.5" hidden="1" customHeight="1">
      <c r="B31" s="73"/>
      <c r="C31" s="74"/>
      <c r="D31" s="71"/>
      <c r="E31" s="71"/>
      <c r="F31" s="71"/>
      <c r="G31" s="71"/>
      <c r="H31" s="71"/>
      <c r="I31" s="71"/>
    </row>
    <row r="32" spans="1:15" ht="19.5" hidden="1" customHeight="1">
      <c r="B32" s="73"/>
      <c r="C32" s="74" t="s">
        <v>254</v>
      </c>
      <c r="D32" s="71" t="s">
        <v>245</v>
      </c>
      <c r="E32" s="76" t="s">
        <v>246</v>
      </c>
      <c r="F32" s="71" t="s">
        <v>241</v>
      </c>
      <c r="G32" s="71" t="s">
        <v>239</v>
      </c>
      <c r="H32" s="71" t="s">
        <v>370</v>
      </c>
      <c r="I32" s="34" t="s">
        <v>536</v>
      </c>
      <c r="J32" s="34" t="s">
        <v>403</v>
      </c>
    </row>
    <row r="33" spans="1:26" ht="19.5" hidden="1" customHeight="1">
      <c r="B33" s="73" t="s">
        <v>471</v>
      </c>
      <c r="D33" t="e">
        <f>+(VLOOKUP(TRUE,Ersatz_Motor!G2:I30,2,FALSE)/100*VLOOKUP(I26,Ersatz_Ventilator!A2:B4,2,FALSE)*VLOOKUP(TRUE,Ersatz_Ventilator!E2:F6,2,FALSE)/100)</f>
        <v>#N/A</v>
      </c>
    </row>
    <row r="34" spans="1:26" ht="19.5" hidden="1" customHeight="1">
      <c r="B34" s="73" t="s">
        <v>476</v>
      </c>
      <c r="D34">
        <f>IF(I28="Stufenschaltung",0.75,IF(I28="Drosselschaltung",MIN((-0.0019*D29^2+0.688*D29+50.86)/100,1),1))</f>
        <v>1</v>
      </c>
    </row>
    <row r="35" spans="1:26" ht="19.5" hidden="1" customHeight="1">
      <c r="B35" s="73" t="s">
        <v>478</v>
      </c>
      <c r="D35">
        <f>IF(D29&gt;0,D29,100)</f>
        <v>100</v>
      </c>
    </row>
    <row r="36" spans="1:26" ht="19.5" hidden="1" customHeight="1">
      <c r="B36" s="73" t="s">
        <v>368</v>
      </c>
      <c r="C36" s="74">
        <f>IF(Anmeldung!K23=1,D24,0)</f>
        <v>0</v>
      </c>
      <c r="D36" s="71" t="str">
        <f>IF(Anmeldung!K23=2,(D24*D25*D27*D33*D34),"")</f>
        <v/>
      </c>
      <c r="E36" s="76">
        <f>IF(Anmeldung!K23=3,D24,0)</f>
        <v>0</v>
      </c>
      <c r="F36" s="71">
        <f>IF(Anmeldung!K23=4,D24,0)</f>
        <v>0</v>
      </c>
      <c r="G36" s="71">
        <f>IF(Anmeldung!K23=5,D24,0)</f>
        <v>0</v>
      </c>
      <c r="H36" s="71">
        <f>IF(Anmeldung!K23=6,D24,0)</f>
        <v>0</v>
      </c>
      <c r="I36" s="34">
        <f>+IF(Anmeldung!K23=7,D24*D25*Ersatz_Heizlüfter!M32,0)</f>
        <v>0</v>
      </c>
      <c r="J36" s="71">
        <v>25</v>
      </c>
    </row>
    <row r="37" spans="1:26" ht="19.5" hidden="1" customHeight="1">
      <c r="B37" s="73" t="s">
        <v>369</v>
      </c>
      <c r="C37" s="74">
        <f>IF(Anmeldung!K23=1,D25,0)</f>
        <v>0</v>
      </c>
      <c r="D37" s="71" t="str">
        <f>IF(Anmeldung!K23=2,(D36-(D24*D25*D27)*(1-D33/Ersatz_Ventilator!K17))*IF(D28&gt;0,(0.0001*(D35-D28)^3-0.0045*(D35-D28)^2+0.4353*(D35-D28)-0.0586)/100,1),"")</f>
        <v/>
      </c>
      <c r="E37" s="76">
        <f>IF(Anmeldung!K23=3,D25,0)</f>
        <v>0</v>
      </c>
      <c r="F37" s="71">
        <f>IF(Anmeldung!K23=4,D25,0)</f>
        <v>0</v>
      </c>
      <c r="G37" s="71">
        <f>IF(Anmeldung!K23=5,D25,0)</f>
        <v>0</v>
      </c>
      <c r="H37" s="71">
        <f>IF(Anmeldung!K23=6,D25,0)</f>
        <v>0</v>
      </c>
      <c r="I37" s="243">
        <f>IF(Anmeldung!K23=7,D26*Ersatz_Heizlüfter!N32,0)</f>
        <v>0</v>
      </c>
      <c r="J37" s="71" t="s">
        <v>482</v>
      </c>
    </row>
    <row r="38" spans="1:26" ht="19.5" hidden="1">
      <c r="B38" s="73" t="s">
        <v>88</v>
      </c>
      <c r="C38" s="78">
        <f>IF(Anmeldung!K23=1,C36-C37,0)</f>
        <v>0</v>
      </c>
      <c r="D38" s="71">
        <f>IF(Anmeldung!K23=2,D36-D37,0)</f>
        <v>0</v>
      </c>
      <c r="E38" s="71">
        <f>IF(Anmeldung!K23=3,E36-E37,0)</f>
        <v>0</v>
      </c>
      <c r="F38" s="77">
        <f>IF(Anmeldung!K23=4,F36-F37,0)</f>
        <v>0</v>
      </c>
      <c r="G38" s="75">
        <f>IF(Anmeldung!K23=5,G36-G37,0)</f>
        <v>0</v>
      </c>
      <c r="H38" s="71">
        <f>IF(Anmeldung!K23=6,H36-H37,0)</f>
        <v>0</v>
      </c>
      <c r="I38" s="243">
        <f>IF(Anmeldung!K23=7,(I36-I37)*Ersatz_Heizlüfter!L4,0)</f>
        <v>0</v>
      </c>
      <c r="J38" s="77">
        <v>2.75E-2</v>
      </c>
    </row>
    <row r="39" spans="1:26" s="34" customFormat="1" ht="34.5" hidden="1">
      <c r="A39" s="56"/>
      <c r="B39" s="73" t="s">
        <v>560</v>
      </c>
      <c r="C39" s="74">
        <f>((C36-C37)*J36)*0.75</f>
        <v>0</v>
      </c>
      <c r="D39" s="244">
        <f>D38*15*0.75</f>
        <v>0</v>
      </c>
      <c r="E39" s="244">
        <f t="shared" ref="E39:G39" si="0">E38*15*0.75</f>
        <v>0</v>
      </c>
      <c r="F39" s="244">
        <f>F38*15*0.75</f>
        <v>0</v>
      </c>
      <c r="G39" s="244">
        <f t="shared" si="0"/>
        <v>0</v>
      </c>
      <c r="H39" s="244">
        <f>H38*15*0.75</f>
        <v>0</v>
      </c>
      <c r="I39" s="244">
        <f>I38*15*0.75</f>
        <v>0</v>
      </c>
    </row>
    <row r="40" spans="1:26" s="34" customFormat="1" ht="14.25" customHeight="1">
      <c r="B40" s="57"/>
      <c r="C40" s="58"/>
      <c r="E40" s="58"/>
      <c r="F40" s="58"/>
    </row>
    <row r="41" spans="1:26" ht="63" customHeight="1">
      <c r="B41" s="16" t="str" cm="1">
        <f t="array" ref="B41">INDEX(sonstiges[#All],7,Sprachen!F22)</f>
        <v>Kommentar</v>
      </c>
      <c r="C41" s="287"/>
      <c r="D41" s="287"/>
      <c r="E41" s="287"/>
      <c r="F41" s="287"/>
      <c r="G41" s="287"/>
      <c r="H41" s="70"/>
      <c r="I41" s="70"/>
      <c r="L41" s="34" t="s">
        <v>23</v>
      </c>
    </row>
    <row r="42" spans="1:26" s="34" customFormat="1" ht="5.45" customHeight="1">
      <c r="J42" s="33"/>
      <c r="K42" s="33"/>
      <c r="L42" s="33"/>
      <c r="M42" s="33"/>
      <c r="N42" s="33"/>
    </row>
    <row r="43" spans="1:26" s="34" customFormat="1" ht="5.45" customHeight="1">
      <c r="J43" s="33"/>
      <c r="K43" s="33"/>
      <c r="L43" s="33"/>
      <c r="M43" s="33"/>
      <c r="N43" s="33"/>
    </row>
    <row r="44" spans="1:26" ht="22.5" customHeight="1">
      <c r="B44" s="282" t="str" cm="1">
        <f t="array" ref="B44">INDEX(sonstiges[#All],9,Sprachen!F22)</f>
        <v>Förder- bedingungen</v>
      </c>
      <c r="C44" s="17" t="str" cm="1">
        <f t="array" aca="1" ref="C44:C47" ca="1">INDIRECT("Förderbedingungen"&amp;"["&amp;INDIRECT("Anmeldung!E3")&amp;"]")</f>
        <v>Investition</v>
      </c>
      <c r="D44" s="38"/>
      <c r="E44" s="15" t="s">
        <v>2</v>
      </c>
      <c r="F44" s="285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</row>
    <row r="45" spans="1:26">
      <c r="B45" s="282"/>
      <c r="C45" s="17" t="str">
        <f ca="1"/>
        <v>max. Förderbeitrag</v>
      </c>
      <c r="D45" s="18">
        <f ca="1">(IF((YEAR(TODAY())-I24)&lt;=J36*0.5,0.4,IF(AND(0.5*J36&lt;=(YEAR(TODAY())-I24),(YEAR(TODAY())-I24)&lt;=J36),0.4-0.15*((YEAR(TODAY())-I24)/(0.5*J36)-1),IF((YEAR(TODAY())-I24)&gt;J36,0.15,0))))*D44</f>
        <v>0</v>
      </c>
      <c r="E45" s="15" t="s">
        <v>2</v>
      </c>
      <c r="F45" s="58"/>
      <c r="G45" s="58"/>
      <c r="H45" s="58"/>
      <c r="I45" s="58"/>
      <c r="M45" s="35"/>
    </row>
    <row r="46" spans="1:26">
      <c r="B46" s="282"/>
      <c r="C46" s="17" t="str">
        <f ca="1"/>
        <v>Einsparung Stromkosten pro Jahr</v>
      </c>
      <c r="D46" s="19">
        <f>D30*0.15</f>
        <v>4.1250000000000002E-3</v>
      </c>
      <c r="E46" s="15" t="s">
        <v>2</v>
      </c>
      <c r="F46" s="58"/>
      <c r="G46" s="58"/>
      <c r="H46" s="58"/>
      <c r="I46" s="58"/>
      <c r="M46" s="35"/>
    </row>
    <row r="47" spans="1:26" ht="19.5" customHeight="1">
      <c r="B47" s="282"/>
      <c r="C47" s="17" t="str">
        <f ca="1"/>
        <v>Payback (x&gt;4 Jahre)</v>
      </c>
      <c r="D47" s="39">
        <f>IF(D46&gt;1,D44/D46,0)</f>
        <v>0</v>
      </c>
      <c r="E47" s="15" t="str" cm="1">
        <f t="array" ref="E47">INDEX(sonstiges[#All],11,Sprachen!F22)</f>
        <v>Jahre</v>
      </c>
      <c r="F47" s="283" t="str" cm="1">
        <f t="array" ref="F47">IF(AND(0&lt;D47,D47&lt;4),INDEX(Hinweise[#All],2,Sprachen!F22),"")</f>
        <v/>
      </c>
      <c r="G47" s="284"/>
      <c r="H47" s="284"/>
      <c r="I47" s="284"/>
      <c r="J47" s="284"/>
      <c r="M47" s="35"/>
    </row>
    <row r="48" spans="1:26" s="34" customFormat="1">
      <c r="J48" s="33"/>
      <c r="K48" s="33"/>
      <c r="L48" s="33"/>
      <c r="M48" s="33"/>
      <c r="N48" s="33"/>
    </row>
    <row r="49" spans="1:14" s="34" customFormat="1" ht="5.25" customHeight="1">
      <c r="J49" s="33"/>
      <c r="K49" s="33"/>
      <c r="L49" s="33"/>
      <c r="M49" s="33"/>
      <c r="N49" s="33"/>
    </row>
    <row r="50" spans="1:14" ht="19.5" customHeight="1">
      <c r="B50" s="279" t="str" cm="1">
        <f t="array" ref="B50">INDEX(sonstiges[#All],6,Sprachen!$F$22)</f>
        <v>Kontrolle der Anforderungen</v>
      </c>
      <c r="C50" s="29" t="str" cm="1">
        <f t="array" ref="C50">INDEX(KontrolleAnforderungen[#All],2,Sprachen!$F$22)</f>
        <v>Treffen nachfolgende Punkte zu?</v>
      </c>
      <c r="D50" s="45" t="s">
        <v>78</v>
      </c>
      <c r="E50" s="34"/>
      <c r="F50" s="34"/>
      <c r="G50" s="34"/>
      <c r="J50" s="33"/>
      <c r="K50" s="6">
        <f>IF(OR(D50="JA",D50="OUI",D50="YES",D50="SI"),1,2)</f>
        <v>1</v>
      </c>
      <c r="L50" s="33"/>
      <c r="M50" s="33"/>
      <c r="N50" s="33"/>
    </row>
    <row r="51" spans="1:14" ht="19.5" customHeight="1">
      <c r="A51" s="56"/>
      <c r="B51" s="280"/>
      <c r="C51" s="311" t="str" cm="1">
        <f t="array" ref="C51">INDEX(KontrolleAnforderungen[#All],3,Sprachen!$F$22)</f>
        <v>- Für diese Massnahme besteht keine Verpflichtung, z.B. in Zielvereinbarung ZV (EnAW, ACT)</v>
      </c>
      <c r="D51" s="311"/>
      <c r="E51" s="311"/>
      <c r="F51" s="311"/>
      <c r="G51" s="312"/>
      <c r="H51" s="70"/>
      <c r="I51" s="70"/>
    </row>
    <row r="52" spans="1:14" ht="18" customHeight="1">
      <c r="A52" s="56"/>
      <c r="B52" s="280"/>
      <c r="C52" s="313" t="str" cm="1">
        <f t="array" ref="C52">INDEX(KontrolleAnforderungen[#All],4,Sprachen!$F$22)</f>
        <v xml:space="preserve">- Es werden keine anderen Förderungen für die Massnahme beansprucht </v>
      </c>
      <c r="D52" s="313"/>
      <c r="E52" s="313"/>
      <c r="F52" s="313"/>
      <c r="G52" s="314"/>
      <c r="H52" s="70"/>
      <c r="I52" s="70"/>
    </row>
    <row r="53" spans="1:14" ht="21" customHeight="1">
      <c r="A53" s="56"/>
      <c r="B53" s="281"/>
      <c r="C53" s="315" t="str" cm="1">
        <f t="array" ref="C53">INDEX(KontrolleAnforderungen[#All],5,Sprachen!$F$22)</f>
        <v>- Die Investition ist zum Zeitpunkt der Antragstellung noch nicht bestellt</v>
      </c>
      <c r="D53" s="315"/>
      <c r="E53" s="315"/>
      <c r="F53" s="315"/>
      <c r="G53" s="316"/>
      <c r="H53" s="70"/>
      <c r="I53" s="70"/>
    </row>
    <row r="54" spans="1:14" s="34" customFormat="1" ht="8.25" customHeight="1">
      <c r="A54" s="56"/>
    </row>
    <row r="55" spans="1:14" ht="19.5" customHeight="1">
      <c r="A55" s="56"/>
      <c r="B55" s="31" t="str" cm="1">
        <f t="array" ref="B55">INDEX(sonstiges[#All],12,Sprachen!$F$22)</f>
        <v>Name</v>
      </c>
      <c r="C55" s="44"/>
      <c r="D55" s="32" t="str" cm="1">
        <f t="array" ref="D55">INDEX(sonstiges[#All],13,Sprachen!$F$22)</f>
        <v>Datum</v>
      </c>
      <c r="E55" s="295"/>
      <c r="F55" s="295"/>
      <c r="G55" s="295"/>
      <c r="H55" s="236"/>
      <c r="I55" s="236"/>
    </row>
    <row r="56" spans="1:14" s="34" customFormat="1" ht="8.25" customHeight="1" thickBot="1">
      <c r="J56" s="33"/>
      <c r="K56" s="33"/>
      <c r="L56" s="33"/>
      <c r="M56" s="33"/>
      <c r="N56" s="33"/>
    </row>
    <row r="57" spans="1:14" ht="30.75" customHeight="1" thickBot="1">
      <c r="B57" s="317" t="str" cm="1">
        <f t="array" ref="B57">INDEX(sonstiges[#All],10,Sprachen!F22)</f>
        <v>Reservierter Förderbeitrag</v>
      </c>
      <c r="C57" s="318"/>
      <c r="D57" s="64">
        <f>IF(AND(D47&gt;=4,K50=1,D23&lt;&gt;"select"),ROUND(MIN(SUM(C39:I39)*J38,D45)/0.05,0)*0.05,0)</f>
        <v>0</v>
      </c>
      <c r="E57" s="20" t="s">
        <v>2</v>
      </c>
      <c r="F57" s="277" t="str" cm="1">
        <f t="array" ref="F57">IF(AND(D47&gt;=4,D44&lt;300000,K50=2),INDEX(Hinweise[#All],4,Sprachen!F22),"")</f>
        <v/>
      </c>
      <c r="G57" s="278"/>
      <c r="H57" s="278"/>
      <c r="I57" s="278"/>
      <c r="J57" s="278"/>
      <c r="M57" s="35"/>
    </row>
    <row r="58" spans="1:14" s="34" customFormat="1" ht="5.45" customHeight="1">
      <c r="J58" s="33"/>
      <c r="K58" s="33"/>
      <c r="L58" s="33"/>
      <c r="M58" s="33"/>
      <c r="N58" s="33"/>
    </row>
    <row r="59" spans="1:14" s="34" customFormat="1" ht="19.5" customHeight="1">
      <c r="B59" s="59" t="str" cm="1">
        <f t="array" ref="B59">INDEX(sonstiges[#All],18,Sprachen!F22)</f>
        <v>Formular und nachvollziehbare Berechnung einreichen/hochladen:</v>
      </c>
      <c r="C59" s="59"/>
      <c r="E59" s="58"/>
      <c r="F59" s="60" t="s">
        <v>0</v>
      </c>
      <c r="K59" s="61"/>
    </row>
    <row r="60" spans="1:14" s="34" customFormat="1" ht="19.5" customHeight="1">
      <c r="B60" s="62"/>
      <c r="C60" s="230" t="s">
        <v>223</v>
      </c>
      <c r="D60" s="33"/>
      <c r="E60" s="58"/>
      <c r="F60" s="60" t="s">
        <v>109</v>
      </c>
      <c r="J60" s="33"/>
      <c r="K60" s="33"/>
      <c r="L60" s="33"/>
      <c r="M60" s="33"/>
      <c r="N60" s="33"/>
    </row>
    <row r="61" spans="1:14" s="34" customFormat="1" ht="19.5" customHeight="1">
      <c r="B61" s="59"/>
      <c r="C61" s="59"/>
      <c r="D61" s="33"/>
      <c r="E61" s="58"/>
      <c r="F61" s="67" t="s">
        <v>406</v>
      </c>
      <c r="J61" s="33"/>
      <c r="K61" s="33"/>
      <c r="L61" s="33"/>
      <c r="M61" s="33"/>
      <c r="N61" s="33"/>
    </row>
    <row r="62" spans="1:14" s="34" customFormat="1" ht="5.45" customHeight="1">
      <c r="J62" s="33"/>
      <c r="K62" s="33"/>
      <c r="L62" s="33"/>
      <c r="M62" s="33"/>
      <c r="N62" s="33"/>
    </row>
    <row r="63" spans="1:14" s="34" customFormat="1"/>
    <row r="64" spans="1:14" s="34" customFormat="1" ht="19.5" customHeight="1">
      <c r="B64" s="63"/>
      <c r="C64" s="54"/>
      <c r="D64" s="54"/>
      <c r="E64" s="54"/>
      <c r="F64" s="54"/>
      <c r="G64" s="54"/>
      <c r="H64" s="54"/>
      <c r="I64" s="54"/>
      <c r="J64" s="54"/>
    </row>
    <row r="65" spans="2:10" s="34" customFormat="1" ht="19.5" customHeight="1">
      <c r="B65" s="294"/>
      <c r="C65" s="294"/>
      <c r="D65" s="294"/>
      <c r="E65" s="294"/>
      <c r="F65" s="294"/>
      <c r="G65" s="294"/>
      <c r="H65" s="294"/>
      <c r="I65" s="294"/>
      <c r="J65" s="294"/>
    </row>
    <row r="66" spans="2:10" s="34" customFormat="1"/>
    <row r="67" spans="2:10" s="34" customFormat="1"/>
    <row r="68" spans="2:10" s="34" customFormat="1"/>
    <row r="69" spans="2:10" s="34" customFormat="1"/>
    <row r="70" spans="2:10" s="34" customFormat="1"/>
    <row r="71" spans="2:10" s="34" customFormat="1"/>
    <row r="72" spans="2:10" s="34" customFormat="1"/>
    <row r="73" spans="2:10" s="34" customFormat="1"/>
    <row r="74" spans="2:10" s="34" customFormat="1"/>
    <row r="75" spans="2:10" s="34" customFormat="1"/>
    <row r="76" spans="2:10" s="34" customFormat="1"/>
    <row r="77" spans="2:10" s="34" customFormat="1"/>
    <row r="78" spans="2:10" s="34" customFormat="1"/>
    <row r="79" spans="2:10" s="34" customFormat="1"/>
    <row r="80" spans="2:1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</sheetData>
  <sheetProtection algorithmName="SHA-512" hashValue="ltVfAWJCchxk0gaqP5RT9zXoNSaDwpozBMcywf7Qtq08PyeoCjL3JDgTZSijG+P52dz9LhzMv2H//c9lZgc8dw==" saltValue="E9DPDcfa/utiunrZVi4i8g==" spinCount="100000" sheet="1" selectLockedCells="1"/>
  <mergeCells count="35">
    <mergeCell ref="H23:J23"/>
    <mergeCell ref="D29:G29"/>
    <mergeCell ref="D26:G26"/>
    <mergeCell ref="D28:G28"/>
    <mergeCell ref="D27:G27"/>
    <mergeCell ref="B9:B17"/>
    <mergeCell ref="D9:G9"/>
    <mergeCell ref="D10:G10"/>
    <mergeCell ref="D14:G14"/>
    <mergeCell ref="D15:G15"/>
    <mergeCell ref="D17:G17"/>
    <mergeCell ref="D11:G11"/>
    <mergeCell ref="D13:E13"/>
    <mergeCell ref="D16:G16"/>
    <mergeCell ref="C41:G41"/>
    <mergeCell ref="D19:G19"/>
    <mergeCell ref="D20:G20"/>
    <mergeCell ref="B65:J65"/>
    <mergeCell ref="E55:G55"/>
    <mergeCell ref="B22:B30"/>
    <mergeCell ref="D24:G24"/>
    <mergeCell ref="D25:G25"/>
    <mergeCell ref="D30:G30"/>
    <mergeCell ref="D23:G23"/>
    <mergeCell ref="D22:G22"/>
    <mergeCell ref="C51:G51"/>
    <mergeCell ref="C52:G52"/>
    <mergeCell ref="C53:G53"/>
    <mergeCell ref="B57:C57"/>
    <mergeCell ref="B19:B20"/>
    <mergeCell ref="F57:J57"/>
    <mergeCell ref="B50:B53"/>
    <mergeCell ref="B44:B47"/>
    <mergeCell ref="F47:J47"/>
    <mergeCell ref="F44:Z44"/>
  </mergeCells>
  <conditionalFormatting sqref="D22">
    <cfRule type="containsText" dxfId="55" priority="65" operator="containsText" text="JA">
      <formula>NOT(ISERROR(SEARCH("JA",D22)))</formula>
    </cfRule>
    <cfRule type="containsText" dxfId="54" priority="66" operator="containsText" text="NEIN">
      <formula>NOT(ISERROR(SEARCH("NEIN",D22)))</formula>
    </cfRule>
    <cfRule type="containsText" dxfId="53" priority="67" operator="containsText" text="JA">
      <formula>NOT(ISERROR(SEARCH("JA",D22)))</formula>
    </cfRule>
    <cfRule type="containsText" dxfId="52" priority="68" operator="containsText" text="NEIN">
      <formula>NOT(ISERROR(SEARCH("NEIN",D22)))</formula>
    </cfRule>
  </conditionalFormatting>
  <conditionalFormatting sqref="D40">
    <cfRule type="containsText" dxfId="51" priority="57" operator="containsText" text="JA">
      <formula>NOT(ISERROR(SEARCH("JA",D40)))</formula>
    </cfRule>
    <cfRule type="containsText" dxfId="50" priority="58" operator="containsText" text="NEIN">
      <formula>NOT(ISERROR(SEARCH("NEIN",D40)))</formula>
    </cfRule>
    <cfRule type="containsText" dxfId="49" priority="59" operator="containsText" text="JA">
      <formula>NOT(ISERROR(SEARCH("JA",D40)))</formula>
    </cfRule>
    <cfRule type="containsText" dxfId="48" priority="60" operator="containsText" text="NEIN">
      <formula>NOT(ISERROR(SEARCH("NEIN",D40)))</formula>
    </cfRule>
  </conditionalFormatting>
  <conditionalFormatting sqref="D47">
    <cfRule type="cellIs" dxfId="47" priority="75" operator="lessThan">
      <formula>4</formula>
    </cfRule>
    <cfRule type="cellIs" dxfId="46" priority="76" operator="greaterThan">
      <formula>4</formula>
    </cfRule>
  </conditionalFormatting>
  <conditionalFormatting sqref="D57">
    <cfRule type="cellIs" dxfId="45" priority="54" operator="equal">
      <formula>0</formula>
    </cfRule>
    <cfRule type="cellIs" dxfId="44" priority="55" operator="greaterThan">
      <formula>0</formula>
    </cfRule>
  </conditionalFormatting>
  <dataValidations count="6">
    <dataValidation type="list" allowBlank="1" showInputMessage="1" showErrorMessage="1" sqref="D42 D40" xr:uid="{00000000-0002-0000-0000-000000000000}">
      <formula1>"Ja,Nein"</formula1>
    </dataValidation>
    <dataValidation type="list" allowBlank="1" showInputMessage="1" showErrorMessage="1" sqref="D22" xr:uid="{71B86FDD-FB3A-41A2-B55E-84D0B9762B81}">
      <formula1>INDIRECT("Messung"&amp;"["&amp;INDIRECT("Anmeldung!E3")&amp;"]")</formula1>
    </dataValidation>
    <dataValidation type="list" allowBlank="1" showInputMessage="1" showErrorMessage="1" sqref="D23:G23" xr:uid="{EAED81D4-CD73-4A23-AFC4-7E8C7A2B808E}">
      <formula1>INDIRECT("Massnahme"&amp;"["&amp;INDIRECT("Anmeldung!E3")&amp;"]")</formula1>
    </dataValidation>
    <dataValidation type="list" allowBlank="1" showInputMessage="1" showErrorMessage="1" sqref="D12" xr:uid="{9A01F0AB-BC2F-4395-97C1-59970976D526}">
      <formula1>INDIRECT("Anrede"&amp;"["&amp;INDIRECT("Anmeldung!E3")&amp;"]")</formula1>
    </dataValidation>
    <dataValidation type="list" allowBlank="1" showInputMessage="1" showErrorMessage="1" sqref="D50" xr:uid="{F22F99D4-4368-457C-9E6E-CCA1C01A1727}">
      <formula1>INDIRECT("janein"&amp;"["&amp;INDIRECT("Anmeldung!E3")&amp;"]")</formula1>
    </dataValidation>
    <dataValidation type="list" allowBlank="1" showInputMessage="1" showErrorMessage="1" sqref="E3" xr:uid="{D05CD06D-23A2-4B57-AA39-997630E33897}">
      <formula1>"DE,FR,IT,EN"</formula1>
    </dataValidation>
  </dataValidations>
  <hyperlinks>
    <hyperlink ref="F61" r:id="rId1" xr:uid="{66F0FDA3-62F4-441C-A4E1-9CDC5EEBA126}"/>
    <hyperlink ref="C60" r:id="rId2" xr:uid="{C540F442-8B19-4503-B5F7-5074E6A9CE34}"/>
  </hyperlinks>
  <pageMargins left="0.7" right="0.7" top="0.75" bottom="0.75" header="0.3" footer="0.3"/>
  <pageSetup paperSize="9" scale="44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4DACE83-47C7-4C45-9D1A-7FA6AD55E294}">
          <x14:formula1>
            <xm:f>IF(K23=2,Sprachen!$V$9:$V$11,"")</xm:f>
          </x14:formula1>
          <xm:sqref>I28</xm:sqref>
        </x14:dataValidation>
        <x14:dataValidation type="list" allowBlank="1" showInputMessage="1" showErrorMessage="1" xr:uid="{DBEDAFEA-D157-419C-A680-22CF699AB322}">
          <x14:formula1>
            <xm:f>IF(K23=1,Ersatz_Motor!B1:F1,IF(K23=2,Ersatz_Motor!B1:F1,IF(K23=7,Ersatz_Heizlüfter!J12:J31)))</xm:f>
          </x14:formula1>
          <xm:sqref>I25</xm:sqref>
        </x14:dataValidation>
        <x14:dataValidation type="list" allowBlank="1" showInputMessage="1" showErrorMessage="1" xr:uid="{C810B7D6-05CC-4071-8B98-1C426B6A97A0}">
          <x14:formula1>
            <xm:f>IF(K23=1,Ersatz_Motor!F1,IF(K23=2,Ersatz_Ventilator!$A$2:$A$4,IF(K23=7,Ersatz_Heizlüfter!$K$2:$K$3,0)))</xm:f>
          </x14:formula1>
          <xm:sqref>I26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117E2-FFCC-402E-858C-1C6D9B314AFA}">
  <dimension ref="A2:O13"/>
  <sheetViews>
    <sheetView workbookViewId="0">
      <selection activeCell="C20" sqref="C20"/>
    </sheetView>
  </sheetViews>
  <sheetFormatPr baseColWidth="10" defaultRowHeight="15"/>
  <cols>
    <col min="1" max="1" width="25.140625" customWidth="1"/>
    <col min="3" max="3" width="36" bestFit="1" customWidth="1"/>
    <col min="5" max="5" width="13.5703125" customWidth="1"/>
    <col min="7" max="7" width="18" customWidth="1"/>
    <col min="9" max="10" width="15" customWidth="1"/>
    <col min="11" max="11" width="18.140625" customWidth="1"/>
    <col min="12" max="14" width="11.42578125" hidden="1" customWidth="1"/>
  </cols>
  <sheetData>
    <row r="2" spans="1:15" ht="15.75" thickBot="1"/>
    <row r="3" spans="1:15" s="90" customFormat="1" ht="20.100000000000001" customHeight="1" thickBot="1">
      <c r="A3" s="259"/>
      <c r="B3" s="330" t="s">
        <v>562</v>
      </c>
      <c r="C3" s="330"/>
      <c r="D3" s="330"/>
      <c r="E3" s="331"/>
      <c r="F3" s="330" t="s">
        <v>561</v>
      </c>
      <c r="G3" s="330"/>
      <c r="H3" s="330"/>
      <c r="I3" s="330"/>
      <c r="J3" s="330"/>
      <c r="K3" s="330"/>
      <c r="L3" s="91" t="s">
        <v>312</v>
      </c>
      <c r="O3" s="260"/>
    </row>
    <row r="4" spans="1:15" s="103" customFormat="1" ht="123" customHeight="1">
      <c r="A4" s="98" t="s">
        <v>579</v>
      </c>
      <c r="B4" s="261" t="str" cm="1">
        <f t="array" ref="B4">INDEX(Einsparungen[#All],7,Sprachen!F22)</f>
        <v>Anzahl</v>
      </c>
      <c r="C4" s="262" t="str" cm="1">
        <f t="array" ref="C4">INDEX(Einsparungen[#All],14,Sprachen!F22)</f>
        <v>Volllaststunden (Betriebsstunden x Auslastung)</v>
      </c>
      <c r="D4" s="263" t="str" cm="1">
        <f t="array" ref="D4">INDEX(Einsparungen[#All],13,Sprachen!F22)</f>
        <v>Leistung alter Motor [kW]</v>
      </c>
      <c r="E4" s="264" t="str" cm="1">
        <f t="array" ref="E4">INDEX(Einsparungen[#All],8,Sprachen!F22)</f>
        <v>Effizienzklasse alt</v>
      </c>
      <c r="F4" s="265" t="str" cm="1">
        <f t="array" ref="F4">INDEX(Einsparungen[#All],7,Sprachen!F22)</f>
        <v>Anzahl</v>
      </c>
      <c r="G4" s="263" t="str" cm="1">
        <f t="array" ref="G4">INDEX(Einsparungen[#All],14,Sprachen!F22)</f>
        <v>Volllaststunden (Betriebsstunden x Auslastung)</v>
      </c>
      <c r="H4" s="263" t="str" cm="1">
        <f t="array" ref="H4">INDEX(Einsparungen[#All],17,Sprachen!F22)</f>
        <v>Leistung neuer Motor [kW]</v>
      </c>
      <c r="I4" s="266" t="str" cm="1">
        <f t="array" ref="I4">INDEX(Einsparungen[#All],9,Sprachen!F22)</f>
        <v>Effizienzklasse neu</v>
      </c>
      <c r="J4" s="266" t="str" cm="1">
        <f t="array" ref="J4">INDEX(Einsparungen[#All],19,Sprachen!F22)</f>
        <v>Zusätzliche Reduktion Betriebsstunden durch FU (optional) (%)</v>
      </c>
      <c r="K4" s="263" t="str" cm="1">
        <f t="array" ref="K4">INDEX(Einsparungen[#All],6,Sprachen!F22)</f>
        <v>Energieeinsparung (Strom) [kWh]</v>
      </c>
      <c r="L4" s="103" t="s">
        <v>368</v>
      </c>
      <c r="M4" s="103" t="s">
        <v>369</v>
      </c>
      <c r="N4" s="103" t="s">
        <v>88</v>
      </c>
      <c r="O4" s="267"/>
    </row>
    <row r="5" spans="1:15">
      <c r="A5" s="270" t="s">
        <v>570</v>
      </c>
      <c r="B5" s="169"/>
      <c r="C5" s="169"/>
      <c r="D5" s="274"/>
      <c r="E5" s="255"/>
      <c r="F5" s="254"/>
      <c r="G5" s="169"/>
      <c r="H5" s="274"/>
      <c r="I5" s="169"/>
      <c r="J5" s="253"/>
      <c r="K5" s="268">
        <f>N5</f>
        <v>0</v>
      </c>
      <c r="L5">
        <f>IF(AND(H5&gt;0,H5&gt;0),B5*C5*(D5*(1/(VLOOKUP(TRUE,Ersatz_Motor!K2:L30,2,FALSE)/100))),0)</f>
        <v>0</v>
      </c>
      <c r="M5">
        <f>IF(AND(D5&gt;0,H5&gt;0),F5*H5*(G5*(1/(VLOOKUP(TRUE,Ersatz_Motor!M2:N30,2,FALSE)/100))),0)</f>
        <v>0</v>
      </c>
      <c r="N5">
        <f>+L5-M5+(M5*J5)/25*15</f>
        <v>0</v>
      </c>
      <c r="O5" s="248"/>
    </row>
    <row r="6" spans="1:15">
      <c r="A6" s="271" t="s">
        <v>571</v>
      </c>
      <c r="B6" s="169"/>
      <c r="C6" s="169"/>
      <c r="D6" s="274"/>
      <c r="E6" s="255"/>
      <c r="F6" s="254"/>
      <c r="G6" s="169"/>
      <c r="H6" s="274"/>
      <c r="I6" s="169"/>
      <c r="J6" s="253"/>
      <c r="K6" s="268">
        <f t="shared" ref="K6:K9" si="0">N6</f>
        <v>0</v>
      </c>
      <c r="L6">
        <f>IF(AND(H6&gt;0,H6&gt;0),B6*C6*(D6*(1/(VLOOKUP(TRUE,Ersatz_Motor!P2:Q30,2,FALSE)/100))),0)</f>
        <v>0</v>
      </c>
      <c r="M6">
        <f>IF(AND(D6&gt;0,H6&gt;0),F6*H6*(G6*(1/(VLOOKUP(TRUE,Ersatz_Motor!R2:S30,2,FALSE)/100))),0)</f>
        <v>0</v>
      </c>
      <c r="N6">
        <f t="shared" ref="N6:N9" si="1">+L6-M6+(M6*J6)/25*15</f>
        <v>0</v>
      </c>
      <c r="O6" s="248"/>
    </row>
    <row r="7" spans="1:15">
      <c r="A7" s="271" t="s">
        <v>572</v>
      </c>
      <c r="B7" s="169"/>
      <c r="C7" s="169"/>
      <c r="D7" s="274"/>
      <c r="E7" s="255"/>
      <c r="F7" s="254"/>
      <c r="G7" s="169"/>
      <c r="H7" s="274"/>
      <c r="I7" s="169"/>
      <c r="J7" s="253"/>
      <c r="K7" s="268">
        <f t="shared" si="0"/>
        <v>0</v>
      </c>
      <c r="L7">
        <f>IF(AND(H7&gt;0,H7&gt;0),B7*C7*(D7*(1/(VLOOKUP(TRUE,Ersatz_Motor!U2:V30,2,FALSE)/100))),0)</f>
        <v>0</v>
      </c>
      <c r="M7">
        <f>IF(AND(D7&gt;0,H7&gt;0),F7*H7*(G7*(1/(VLOOKUP(TRUE,Ersatz_Motor!W2:X30,2,FALSE)/100))),0)</f>
        <v>0</v>
      </c>
      <c r="N7">
        <f t="shared" si="1"/>
        <v>0</v>
      </c>
      <c r="O7" s="248"/>
    </row>
    <row r="8" spans="1:15">
      <c r="A8" s="271" t="s">
        <v>573</v>
      </c>
      <c r="B8" s="169"/>
      <c r="C8" s="169"/>
      <c r="D8" s="274"/>
      <c r="E8" s="255"/>
      <c r="F8" s="254"/>
      <c r="G8" s="169"/>
      <c r="H8" s="274"/>
      <c r="I8" s="169"/>
      <c r="J8" s="253"/>
      <c r="K8" s="268">
        <f t="shared" si="0"/>
        <v>0</v>
      </c>
      <c r="L8">
        <f>IF(AND(H8&gt;0,H8&gt;0),B8*C8*(D8*(1/(VLOOKUP(TRUE,Ersatz_Motor!Z2:AA30,2,FALSE)/100))),0)</f>
        <v>0</v>
      </c>
      <c r="M8">
        <f>IF(AND(D8&gt;0,H8&gt;0),F8*H8*(G8*(1/(VLOOKUP(TRUE,Ersatz_Motor!AB2:AC30,2,FALSE)/100))),0)</f>
        <v>0</v>
      </c>
      <c r="N8">
        <f t="shared" si="1"/>
        <v>0</v>
      </c>
      <c r="O8" s="248"/>
    </row>
    <row r="9" spans="1:15" ht="15.75" thickBot="1">
      <c r="A9" s="272" t="s">
        <v>574</v>
      </c>
      <c r="B9" s="176"/>
      <c r="C9" s="176"/>
      <c r="D9" s="176"/>
      <c r="E9" s="256"/>
      <c r="F9" s="257"/>
      <c r="G9" s="176"/>
      <c r="H9" s="275"/>
      <c r="I9" s="176"/>
      <c r="J9" s="258"/>
      <c r="K9" s="273">
        <f t="shared" si="0"/>
        <v>0</v>
      </c>
      <c r="L9">
        <f>IF(AND(H9&gt;0,H9&gt;0),B9*C9*(D9*(1/(VLOOKUP(TRUE,Ersatz_Motor!AE2:AF30,2,FALSE)/100))),0)</f>
        <v>0</v>
      </c>
      <c r="M9">
        <f>IF(AND(D9&gt;0,H9&gt;0),F9*H9*(G9*(1/(VLOOKUP(TRUE,Ersatz_Motor!AG2:AH30,2,FALSE)/100))),0)</f>
        <v>0</v>
      </c>
      <c r="N9">
        <f t="shared" si="1"/>
        <v>0</v>
      </c>
      <c r="O9" s="248"/>
    </row>
    <row r="10" spans="1:15">
      <c r="L10">
        <f t="shared" ref="L10:M10" si="2">SUM(L5:L9)</f>
        <v>0</v>
      </c>
      <c r="M10">
        <f t="shared" si="2"/>
        <v>0</v>
      </c>
      <c r="N10">
        <f>SUM(N5:N9)</f>
        <v>0</v>
      </c>
    </row>
    <row r="12" spans="1:15">
      <c r="C12" s="237" t="s">
        <v>358</v>
      </c>
      <c r="D12" s="269">
        <f>L10</f>
        <v>0</v>
      </c>
    </row>
    <row r="13" spans="1:15">
      <c r="C13" s="237" t="s">
        <v>359</v>
      </c>
      <c r="D13" s="269">
        <f>L10-N10</f>
        <v>0</v>
      </c>
    </row>
  </sheetData>
  <sheetProtection algorithmName="SHA-512" hashValue="E6VInAznjP25G3Agvw5+E9xzzU+RCxhl9BhX/fgTxJo/Y4NRm62wNhtLVSgpUDLTpWY2SSrhDxg5RHbq0wR5rA==" saltValue="ywIuCypwlhrEg3wDtv4zPQ==" spinCount="100000" sheet="1" objects="1" scenarios="1"/>
  <mergeCells count="2">
    <mergeCell ref="B3:E3"/>
    <mergeCell ref="F3:K3"/>
  </mergeCells>
  <phoneticPr fontId="44" type="noConversion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A91A501-3892-4C53-9A5C-7E47001ED119}">
          <x14:formula1>
            <xm:f>Ersatz_Motor!B6:F6</xm:f>
          </x14:formula1>
          <xm:sqref>E10:E19</xm:sqref>
        </x14:dataValidation>
        <x14:dataValidation type="list" allowBlank="1" showInputMessage="1" showErrorMessage="1" xr:uid="{5FEDE532-C95B-43A1-BC86-1B5B13784B9D}">
          <x14:formula1>
            <xm:f>Ersatz_Motor!F6</xm:f>
          </x14:formula1>
          <xm:sqref>I10:I18</xm:sqref>
        </x14:dataValidation>
        <x14:dataValidation type="list" allowBlank="1" showInputMessage="1" showErrorMessage="1" xr:uid="{EF9FBD63-5C09-4CF5-AFA1-54F16E0A10EE}">
          <x14:formula1>
            <xm:f>Ersatz_Motor!$B$1:$F$1</xm:f>
          </x14:formula1>
          <xm:sqref>E5:E9</xm:sqref>
        </x14:dataValidation>
        <x14:dataValidation type="list" allowBlank="1" showInputMessage="1" showErrorMessage="1" xr:uid="{8E699C11-DBD6-45FC-BD53-E2B1E93D2F6E}">
          <x14:formula1>
            <xm:f>Ersatz_Motor!$F$1</xm:f>
          </x14:formula1>
          <xm:sqref>I5:I9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43C3-A671-461E-A65F-C916C581E39D}">
  <sheetPr codeName="Tabelle2"/>
  <dimension ref="A1:Y54"/>
  <sheetViews>
    <sheetView workbookViewId="0">
      <selection activeCell="E10" sqref="E10"/>
    </sheetView>
  </sheetViews>
  <sheetFormatPr baseColWidth="10" defaultRowHeight="15"/>
  <cols>
    <col min="2" max="2" width="15.140625" customWidth="1"/>
    <col min="5" max="5" width="39.140625" bestFit="1" customWidth="1"/>
    <col min="8" max="8" width="20.42578125" bestFit="1" customWidth="1"/>
    <col min="9" max="9" width="29.42578125" bestFit="1" customWidth="1"/>
    <col min="10" max="10" width="29.85546875" bestFit="1" customWidth="1"/>
    <col min="11" max="11" width="20.42578125" bestFit="1" customWidth="1"/>
    <col min="14" max="14" width="11.7109375" bestFit="1" customWidth="1"/>
  </cols>
  <sheetData>
    <row r="1" spans="1:25">
      <c r="A1" t="s">
        <v>68</v>
      </c>
      <c r="B1" t="s">
        <v>25</v>
      </c>
      <c r="C1" t="s">
        <v>26</v>
      </c>
      <c r="D1" t="s">
        <v>27</v>
      </c>
      <c r="E1" t="s">
        <v>35</v>
      </c>
      <c r="G1" t="s">
        <v>22</v>
      </c>
      <c r="H1" s="27" t="s">
        <v>25</v>
      </c>
      <c r="I1" s="25" t="s">
        <v>26</v>
      </c>
      <c r="J1" s="25" t="s">
        <v>27</v>
      </c>
      <c r="K1" s="28" t="s">
        <v>35</v>
      </c>
      <c r="M1" t="s">
        <v>4</v>
      </c>
      <c r="N1" s="27" t="s">
        <v>25</v>
      </c>
      <c r="O1" s="25" t="s">
        <v>26</v>
      </c>
      <c r="P1" s="25" t="s">
        <v>27</v>
      </c>
      <c r="Q1" s="28" t="s">
        <v>35</v>
      </c>
      <c r="U1" t="s">
        <v>96</v>
      </c>
      <c r="V1" s="27" t="s">
        <v>25</v>
      </c>
      <c r="W1" s="25" t="s">
        <v>26</v>
      </c>
      <c r="X1" s="25" t="s">
        <v>27</v>
      </c>
      <c r="Y1" s="28" t="s">
        <v>35</v>
      </c>
    </row>
    <row r="2" spans="1:25">
      <c r="B2" t="s">
        <v>130</v>
      </c>
      <c r="C2" t="s">
        <v>130</v>
      </c>
      <c r="D2" t="s">
        <v>130</v>
      </c>
      <c r="E2" t="s">
        <v>130</v>
      </c>
      <c r="H2" t="s">
        <v>130</v>
      </c>
      <c r="I2" t="s">
        <v>130</v>
      </c>
      <c r="J2" t="s">
        <v>130</v>
      </c>
      <c r="K2" t="s">
        <v>130</v>
      </c>
      <c r="N2" t="s">
        <v>3</v>
      </c>
      <c r="O2" t="s">
        <v>52</v>
      </c>
      <c r="P2" t="s">
        <v>51</v>
      </c>
      <c r="Q2" t="s">
        <v>50</v>
      </c>
      <c r="V2" t="s">
        <v>94</v>
      </c>
      <c r="W2" t="s">
        <v>97</v>
      </c>
      <c r="X2" t="s">
        <v>99</v>
      </c>
      <c r="Y2" t="s">
        <v>98</v>
      </c>
    </row>
    <row r="3" spans="1:25">
      <c r="B3" t="s">
        <v>238</v>
      </c>
      <c r="C3" t="s">
        <v>452</v>
      </c>
      <c r="D3" t="s">
        <v>451</v>
      </c>
      <c r="E3" t="s">
        <v>453</v>
      </c>
      <c r="H3" t="s">
        <v>22</v>
      </c>
      <c r="I3" t="s">
        <v>36</v>
      </c>
      <c r="J3" t="s">
        <v>38</v>
      </c>
      <c r="K3" t="s">
        <v>40</v>
      </c>
      <c r="N3" t="s">
        <v>483</v>
      </c>
      <c r="O3" t="s">
        <v>484</v>
      </c>
      <c r="P3" t="s">
        <v>485</v>
      </c>
      <c r="Q3" t="s">
        <v>147</v>
      </c>
      <c r="V3" s="23" t="s">
        <v>135</v>
      </c>
      <c r="W3" s="23" t="s">
        <v>138</v>
      </c>
      <c r="X3" s="23" t="s">
        <v>137</v>
      </c>
      <c r="Y3" s="23" t="s">
        <v>136</v>
      </c>
    </row>
    <row r="4" spans="1:25">
      <c r="B4" t="s">
        <v>245</v>
      </c>
      <c r="C4" t="s">
        <v>456</v>
      </c>
      <c r="D4" t="s">
        <v>455</v>
      </c>
      <c r="E4" t="s">
        <v>454</v>
      </c>
      <c r="H4" t="s">
        <v>21</v>
      </c>
      <c r="I4" t="s">
        <v>37</v>
      </c>
      <c r="J4" t="s">
        <v>39</v>
      </c>
      <c r="K4" t="s">
        <v>41</v>
      </c>
      <c r="N4" t="s">
        <v>53</v>
      </c>
      <c r="O4" t="s">
        <v>55</v>
      </c>
      <c r="P4" t="s">
        <v>56</v>
      </c>
      <c r="Q4" t="s">
        <v>54</v>
      </c>
      <c r="V4" s="23" t="s">
        <v>139</v>
      </c>
      <c r="W4" s="23" t="s">
        <v>140</v>
      </c>
      <c r="X4" s="23" t="s">
        <v>141</v>
      </c>
      <c r="Y4" s="23" t="s">
        <v>142</v>
      </c>
    </row>
    <row r="5" spans="1:25">
      <c r="B5" t="s">
        <v>246</v>
      </c>
      <c r="C5" t="s">
        <v>457</v>
      </c>
      <c r="D5" t="s">
        <v>458</v>
      </c>
      <c r="E5" t="s">
        <v>459</v>
      </c>
      <c r="H5" t="s">
        <v>196</v>
      </c>
      <c r="I5" t="s">
        <v>197</v>
      </c>
      <c r="J5" t="s">
        <v>198</v>
      </c>
      <c r="K5" t="s">
        <v>199</v>
      </c>
      <c r="N5" t="s">
        <v>13</v>
      </c>
      <c r="O5" t="s">
        <v>59</v>
      </c>
      <c r="P5" t="s">
        <v>57</v>
      </c>
      <c r="Q5" t="s">
        <v>58</v>
      </c>
      <c r="V5" s="23" t="s">
        <v>143</v>
      </c>
      <c r="W5" s="23" t="s">
        <v>145</v>
      </c>
      <c r="X5" s="23" t="s">
        <v>144</v>
      </c>
      <c r="Y5" s="23" t="s">
        <v>146</v>
      </c>
    </row>
    <row r="6" spans="1:25">
      <c r="B6" t="s">
        <v>241</v>
      </c>
      <c r="C6" t="s">
        <v>461</v>
      </c>
      <c r="D6" t="s">
        <v>462</v>
      </c>
      <c r="E6" t="s">
        <v>460</v>
      </c>
    </row>
    <row r="7" spans="1:25">
      <c r="B7" t="s">
        <v>239</v>
      </c>
      <c r="C7" t="s">
        <v>464</v>
      </c>
      <c r="D7" t="s">
        <v>463</v>
      </c>
      <c r="E7" t="s">
        <v>465</v>
      </c>
      <c r="N7" s="23"/>
      <c r="O7" s="23"/>
      <c r="P7" s="23"/>
      <c r="Q7" s="23"/>
    </row>
    <row r="8" spans="1:25">
      <c r="B8" t="s">
        <v>240</v>
      </c>
      <c r="C8" t="s">
        <v>467</v>
      </c>
      <c r="D8" t="s">
        <v>468</v>
      </c>
      <c r="E8" t="s">
        <v>466</v>
      </c>
      <c r="U8" t="s">
        <v>472</v>
      </c>
      <c r="V8" t="s">
        <v>256</v>
      </c>
    </row>
    <row r="9" spans="1:25">
      <c r="B9" t="s">
        <v>494</v>
      </c>
      <c r="C9" t="s">
        <v>581</v>
      </c>
      <c r="D9" t="s">
        <v>580</v>
      </c>
      <c r="E9" t="s">
        <v>582</v>
      </c>
      <c r="G9" t="s">
        <v>86</v>
      </c>
      <c r="H9" s="27" t="s">
        <v>25</v>
      </c>
      <c r="I9" s="25" t="s">
        <v>26</v>
      </c>
      <c r="J9" s="25" t="s">
        <v>27</v>
      </c>
      <c r="K9" s="28" t="s">
        <v>35</v>
      </c>
      <c r="M9" t="s">
        <v>88</v>
      </c>
      <c r="N9" s="27" t="s">
        <v>25</v>
      </c>
      <c r="O9" s="25" t="s">
        <v>26</v>
      </c>
      <c r="P9" s="25" t="s">
        <v>27</v>
      </c>
      <c r="Q9" s="28" t="s">
        <v>35</v>
      </c>
      <c r="V9" t="s">
        <v>475</v>
      </c>
    </row>
    <row r="10" spans="1:25">
      <c r="H10" t="s">
        <v>193</v>
      </c>
      <c r="I10" t="s">
        <v>200</v>
      </c>
      <c r="J10" t="s">
        <v>201</v>
      </c>
      <c r="K10" t="s">
        <v>202</v>
      </c>
      <c r="M10">
        <v>2</v>
      </c>
      <c r="N10" t="s">
        <v>224</v>
      </c>
      <c r="O10" s="68" t="s">
        <v>89</v>
      </c>
      <c r="P10" s="68" t="s">
        <v>90</v>
      </c>
      <c r="Q10" s="68" t="s">
        <v>91</v>
      </c>
      <c r="V10" t="s">
        <v>473</v>
      </c>
    </row>
    <row r="11" spans="1:25">
      <c r="H11" t="s">
        <v>5</v>
      </c>
      <c r="I11" t="s">
        <v>87</v>
      </c>
      <c r="J11" t="s">
        <v>163</v>
      </c>
      <c r="K11" t="s">
        <v>162</v>
      </c>
      <c r="M11">
        <v>3</v>
      </c>
      <c r="N11" t="s">
        <v>68</v>
      </c>
      <c r="O11" t="s">
        <v>182</v>
      </c>
      <c r="P11" t="s">
        <v>183</v>
      </c>
      <c r="Q11" t="s">
        <v>184</v>
      </c>
      <c r="V11" t="s">
        <v>474</v>
      </c>
    </row>
    <row r="12" spans="1:25">
      <c r="A12" t="s">
        <v>69</v>
      </c>
      <c r="B12" s="25" t="s">
        <v>25</v>
      </c>
      <c r="C12" s="25" t="s">
        <v>26</v>
      </c>
      <c r="D12" s="25" t="s">
        <v>27</v>
      </c>
      <c r="E12" s="25" t="s">
        <v>35</v>
      </c>
      <c r="H12" t="s">
        <v>20</v>
      </c>
      <c r="I12" t="s">
        <v>164</v>
      </c>
      <c r="J12" t="s">
        <v>165</v>
      </c>
      <c r="K12" t="s">
        <v>166</v>
      </c>
      <c r="M12">
        <v>4</v>
      </c>
      <c r="N12" t="s">
        <v>185</v>
      </c>
      <c r="O12" t="s">
        <v>186</v>
      </c>
      <c r="P12" t="s">
        <v>187</v>
      </c>
      <c r="Q12" t="s">
        <v>189</v>
      </c>
    </row>
    <row r="13" spans="1:25">
      <c r="B13" s="24" t="s">
        <v>130</v>
      </c>
      <c r="C13" s="24" t="s">
        <v>130</v>
      </c>
      <c r="D13" s="24" t="s">
        <v>130</v>
      </c>
      <c r="E13" s="24" t="s">
        <v>130</v>
      </c>
      <c r="H13" t="s">
        <v>69</v>
      </c>
      <c r="I13" t="s">
        <v>167</v>
      </c>
      <c r="J13" t="s">
        <v>168</v>
      </c>
      <c r="K13" t="s">
        <v>167</v>
      </c>
      <c r="M13">
        <v>5</v>
      </c>
      <c r="N13" t="s">
        <v>191</v>
      </c>
      <c r="O13" t="s">
        <v>192</v>
      </c>
      <c r="P13" t="s">
        <v>188</v>
      </c>
      <c r="Q13" t="s">
        <v>190</v>
      </c>
    </row>
    <row r="14" spans="1:25">
      <c r="B14" s="69" t="s">
        <v>70</v>
      </c>
      <c r="C14" s="69" t="s">
        <v>72</v>
      </c>
      <c r="D14" s="69" t="s">
        <v>74</v>
      </c>
      <c r="E14" s="69" t="s">
        <v>76</v>
      </c>
      <c r="H14" t="s">
        <v>169</v>
      </c>
      <c r="I14" t="s">
        <v>172</v>
      </c>
      <c r="J14" t="s">
        <v>170</v>
      </c>
      <c r="K14" t="s">
        <v>171</v>
      </c>
      <c r="M14">
        <v>6</v>
      </c>
      <c r="N14" t="s">
        <v>15</v>
      </c>
      <c r="O14" t="s">
        <v>42</v>
      </c>
      <c r="P14" t="s">
        <v>44</v>
      </c>
      <c r="Q14" t="s">
        <v>43</v>
      </c>
    </row>
    <row r="15" spans="1:25">
      <c r="B15" s="26" t="s">
        <v>71</v>
      </c>
      <c r="C15" s="26" t="s">
        <v>73</v>
      </c>
      <c r="D15" s="26" t="s">
        <v>75</v>
      </c>
      <c r="E15" s="26" t="s">
        <v>77</v>
      </c>
      <c r="H15" t="s">
        <v>11</v>
      </c>
      <c r="I15" t="s">
        <v>173</v>
      </c>
      <c r="J15" t="s">
        <v>174</v>
      </c>
      <c r="K15" t="s">
        <v>175</v>
      </c>
      <c r="M15">
        <v>7</v>
      </c>
      <c r="N15" t="s">
        <v>242</v>
      </c>
      <c r="O15" t="s">
        <v>407</v>
      </c>
      <c r="P15" t="s">
        <v>408</v>
      </c>
      <c r="Q15" t="s">
        <v>409</v>
      </c>
    </row>
    <row r="16" spans="1:25">
      <c r="A16" t="s">
        <v>85</v>
      </c>
      <c r="H16" t="s">
        <v>176</v>
      </c>
      <c r="I16" t="s">
        <v>177</v>
      </c>
      <c r="J16" t="s">
        <v>12</v>
      </c>
      <c r="K16" t="s">
        <v>176</v>
      </c>
      <c r="M16">
        <v>8</v>
      </c>
      <c r="N16" t="s">
        <v>243</v>
      </c>
      <c r="O16" t="s">
        <v>411</v>
      </c>
      <c r="P16" t="s">
        <v>412</v>
      </c>
      <c r="Q16" t="s">
        <v>410</v>
      </c>
    </row>
    <row r="17" spans="1:17">
      <c r="B17" s="27" t="s">
        <v>25</v>
      </c>
      <c r="C17" s="25" t="s">
        <v>26</v>
      </c>
      <c r="D17" s="25" t="s">
        <v>27</v>
      </c>
      <c r="E17" s="28" t="s">
        <v>35</v>
      </c>
      <c r="H17" t="s">
        <v>178</v>
      </c>
      <c r="I17" t="s">
        <v>181</v>
      </c>
      <c r="J17" t="s">
        <v>179</v>
      </c>
      <c r="K17" t="s">
        <v>180</v>
      </c>
      <c r="M17">
        <v>9</v>
      </c>
      <c r="N17" t="s">
        <v>244</v>
      </c>
      <c r="O17" t="s">
        <v>415</v>
      </c>
      <c r="P17" t="s">
        <v>413</v>
      </c>
      <c r="Q17" t="s">
        <v>414</v>
      </c>
    </row>
    <row r="18" spans="1:17">
      <c r="B18" t="s">
        <v>130</v>
      </c>
      <c r="C18" t="s">
        <v>130</v>
      </c>
      <c r="D18" t="s">
        <v>130</v>
      </c>
      <c r="E18" t="s">
        <v>130</v>
      </c>
      <c r="M18">
        <v>10</v>
      </c>
      <c r="N18" t="s">
        <v>401</v>
      </c>
      <c r="O18" t="s">
        <v>416</v>
      </c>
      <c r="P18" t="s">
        <v>417</v>
      </c>
      <c r="Q18" t="s">
        <v>418</v>
      </c>
    </row>
    <row r="19" spans="1:17">
      <c r="B19" t="s">
        <v>78</v>
      </c>
      <c r="C19" t="s">
        <v>80</v>
      </c>
      <c r="D19" t="s">
        <v>84</v>
      </c>
      <c r="E19" t="s">
        <v>82</v>
      </c>
      <c r="M19">
        <v>11</v>
      </c>
    </row>
    <row r="20" spans="1:17">
      <c r="B20" t="s">
        <v>79</v>
      </c>
      <c r="C20" t="s">
        <v>83</v>
      </c>
      <c r="D20" t="s">
        <v>81</v>
      </c>
      <c r="E20" t="s">
        <v>81</v>
      </c>
      <c r="M20">
        <v>12</v>
      </c>
      <c r="N20" t="s">
        <v>367</v>
      </c>
      <c r="O20" t="s">
        <v>421</v>
      </c>
      <c r="P20" t="s">
        <v>420</v>
      </c>
      <c r="Q20" t="s">
        <v>419</v>
      </c>
    </row>
    <row r="21" spans="1:17">
      <c r="F21" t="s">
        <v>93</v>
      </c>
      <c r="M21">
        <v>13</v>
      </c>
      <c r="N21" t="s">
        <v>391</v>
      </c>
      <c r="O21" t="s">
        <v>422</v>
      </c>
      <c r="P21" t="s">
        <v>423</v>
      </c>
      <c r="Q21" t="s">
        <v>424</v>
      </c>
    </row>
    <row r="22" spans="1:17">
      <c r="F22">
        <f>IF(Anmeldung!E3="DE",1,IF(Anmeldung!E3="FR",2,IF(Anmeldung!E3="IT",3,IF(Anmeldung!E3="EN",4,""))))</f>
        <v>1</v>
      </c>
      <c r="G22" t="s">
        <v>108</v>
      </c>
      <c r="H22" s="25" t="s">
        <v>25</v>
      </c>
      <c r="I22" s="25" t="s">
        <v>26</v>
      </c>
      <c r="J22" s="25" t="s">
        <v>27</v>
      </c>
      <c r="K22" s="25" t="s">
        <v>35</v>
      </c>
      <c r="M22">
        <v>14</v>
      </c>
      <c r="N22" t="s">
        <v>402</v>
      </c>
      <c r="O22" t="s">
        <v>426</v>
      </c>
      <c r="P22" t="s">
        <v>427</v>
      </c>
      <c r="Q22" t="s">
        <v>425</v>
      </c>
    </row>
    <row r="23" spans="1:17">
      <c r="H23" s="30" t="s">
        <v>156</v>
      </c>
      <c r="I23" s="30" t="s">
        <v>157</v>
      </c>
      <c r="J23" s="30" t="s">
        <v>158</v>
      </c>
      <c r="K23" s="30" t="s">
        <v>156</v>
      </c>
      <c r="M23">
        <v>15</v>
      </c>
      <c r="N23" t="s">
        <v>486</v>
      </c>
      <c r="O23" t="s">
        <v>487</v>
      </c>
      <c r="P23" t="s">
        <v>488</v>
      </c>
      <c r="Q23" t="s">
        <v>489</v>
      </c>
    </row>
    <row r="24" spans="1:17" ht="15" customHeight="1">
      <c r="A24" t="s">
        <v>92</v>
      </c>
      <c r="H24" s="26" t="s">
        <v>176</v>
      </c>
      <c r="I24" s="26" t="s">
        <v>177</v>
      </c>
      <c r="J24" s="26" t="s">
        <v>12</v>
      </c>
      <c r="K24" s="26" t="s">
        <v>176</v>
      </c>
      <c r="M24">
        <v>16</v>
      </c>
      <c r="N24" t="s">
        <v>404</v>
      </c>
      <c r="O24" t="s">
        <v>429</v>
      </c>
      <c r="P24" t="s">
        <v>430</v>
      </c>
      <c r="Q24" t="s">
        <v>428</v>
      </c>
    </row>
    <row r="25" spans="1:17" ht="15" customHeight="1">
      <c r="A25">
        <v>2</v>
      </c>
      <c r="M25">
        <v>17</v>
      </c>
      <c r="N25" t="s">
        <v>390</v>
      </c>
      <c r="O25" t="s">
        <v>432</v>
      </c>
      <c r="P25" t="s">
        <v>431</v>
      </c>
      <c r="Q25" t="s">
        <v>433</v>
      </c>
    </row>
    <row r="26" spans="1:17" ht="15" customHeight="1">
      <c r="A26">
        <v>3</v>
      </c>
      <c r="B26" s="27" t="s">
        <v>25</v>
      </c>
      <c r="C26" s="25" t="s">
        <v>26</v>
      </c>
      <c r="D26" s="25" t="s">
        <v>27</v>
      </c>
      <c r="E26" s="28" t="s">
        <v>35</v>
      </c>
      <c r="M26">
        <v>18</v>
      </c>
      <c r="N26" t="s">
        <v>400</v>
      </c>
      <c r="O26" t="s">
        <v>435</v>
      </c>
      <c r="Q26" t="s">
        <v>434</v>
      </c>
    </row>
    <row r="27" spans="1:17">
      <c r="A27">
        <v>4</v>
      </c>
      <c r="B27" t="s">
        <v>24</v>
      </c>
      <c r="C27" t="s">
        <v>63</v>
      </c>
      <c r="D27" t="s">
        <v>64</v>
      </c>
      <c r="E27" t="s">
        <v>65</v>
      </c>
      <c r="M27">
        <v>19</v>
      </c>
      <c r="N27" t="s">
        <v>392</v>
      </c>
      <c r="O27" t="s">
        <v>436</v>
      </c>
      <c r="P27" t="s">
        <v>437</v>
      </c>
      <c r="Q27" t="s">
        <v>438</v>
      </c>
    </row>
    <row r="28" spans="1:17">
      <c r="A28">
        <v>5</v>
      </c>
      <c r="B28" t="s">
        <v>237</v>
      </c>
      <c r="C28" t="s">
        <v>28</v>
      </c>
      <c r="D28" t="s">
        <v>29</v>
      </c>
      <c r="E28" t="s">
        <v>30</v>
      </c>
      <c r="G28" t="s">
        <v>118</v>
      </c>
      <c r="H28" s="27" t="s">
        <v>25</v>
      </c>
      <c r="I28" s="25" t="s">
        <v>26</v>
      </c>
      <c r="J28" s="25" t="s">
        <v>27</v>
      </c>
      <c r="K28" s="28" t="s">
        <v>35</v>
      </c>
      <c r="M28">
        <v>20</v>
      </c>
      <c r="N28" t="s">
        <v>490</v>
      </c>
      <c r="O28" t="s">
        <v>491</v>
      </c>
      <c r="P28" t="s">
        <v>492</v>
      </c>
      <c r="Q28" t="s">
        <v>493</v>
      </c>
    </row>
    <row r="29" spans="1:17">
      <c r="A29">
        <v>6</v>
      </c>
      <c r="B29" t="s">
        <v>14</v>
      </c>
      <c r="C29" t="s">
        <v>32</v>
      </c>
      <c r="D29" t="s">
        <v>33</v>
      </c>
      <c r="E29" t="s">
        <v>31</v>
      </c>
      <c r="G29">
        <v>2</v>
      </c>
      <c r="H29" t="s">
        <v>120</v>
      </c>
      <c r="I29" t="s">
        <v>122</v>
      </c>
      <c r="J29" t="s">
        <v>124</v>
      </c>
      <c r="K29" t="s">
        <v>123</v>
      </c>
      <c r="M29">
        <v>21</v>
      </c>
      <c r="N29" t="s">
        <v>405</v>
      </c>
      <c r="O29" t="s">
        <v>439</v>
      </c>
      <c r="P29" t="s">
        <v>440</v>
      </c>
      <c r="Q29" t="s">
        <v>441</v>
      </c>
    </row>
    <row r="30" spans="1:17">
      <c r="A30">
        <v>7</v>
      </c>
      <c r="B30" t="s">
        <v>393</v>
      </c>
      <c r="C30" t="s">
        <v>449</v>
      </c>
      <c r="D30" t="s">
        <v>450</v>
      </c>
      <c r="E30" t="s">
        <v>448</v>
      </c>
      <c r="G30">
        <v>3</v>
      </c>
      <c r="H30" t="s">
        <v>119</v>
      </c>
      <c r="I30" t="s">
        <v>127</v>
      </c>
      <c r="J30" t="s">
        <v>125</v>
      </c>
      <c r="K30" t="s">
        <v>126</v>
      </c>
      <c r="M30">
        <v>22</v>
      </c>
      <c r="N30" t="s">
        <v>477</v>
      </c>
      <c r="O30" t="s">
        <v>480</v>
      </c>
      <c r="P30" t="s">
        <v>481</v>
      </c>
      <c r="Q30" t="s">
        <v>479</v>
      </c>
    </row>
    <row r="31" spans="1:17">
      <c r="A31">
        <v>8</v>
      </c>
      <c r="B31" t="s">
        <v>95</v>
      </c>
      <c r="C31" t="s">
        <v>100</v>
      </c>
      <c r="D31" t="s">
        <v>102</v>
      </c>
      <c r="E31" t="s">
        <v>101</v>
      </c>
      <c r="G31">
        <v>4</v>
      </c>
      <c r="H31" t="s">
        <v>121</v>
      </c>
      <c r="I31" t="s">
        <v>128</v>
      </c>
      <c r="J31" t="s">
        <v>128</v>
      </c>
      <c r="K31" t="s">
        <v>129</v>
      </c>
      <c r="M31">
        <v>23</v>
      </c>
      <c r="N31" t="s">
        <v>533</v>
      </c>
      <c r="O31" t="s">
        <v>544</v>
      </c>
      <c r="P31" t="s">
        <v>545</v>
      </c>
      <c r="Q31" t="s">
        <v>543</v>
      </c>
    </row>
    <row r="32" spans="1:17">
      <c r="A32">
        <v>9</v>
      </c>
      <c r="B32" t="s">
        <v>103</v>
      </c>
      <c r="C32" t="s">
        <v>104</v>
      </c>
      <c r="D32" t="s">
        <v>105</v>
      </c>
      <c r="E32" t="s">
        <v>106</v>
      </c>
      <c r="G32">
        <v>5</v>
      </c>
      <c r="H32" t="s">
        <v>360</v>
      </c>
      <c r="I32" t="s">
        <v>443</v>
      </c>
      <c r="J32" t="s">
        <v>444</v>
      </c>
      <c r="K32" t="s">
        <v>442</v>
      </c>
      <c r="M32">
        <v>24</v>
      </c>
      <c r="N32" t="s">
        <v>534</v>
      </c>
      <c r="O32" t="s">
        <v>547</v>
      </c>
      <c r="P32" t="s">
        <v>546</v>
      </c>
      <c r="Q32" t="s">
        <v>548</v>
      </c>
    </row>
    <row r="33" spans="1:17">
      <c r="A33">
        <v>10</v>
      </c>
      <c r="B33" t="s">
        <v>152</v>
      </c>
      <c r="C33" t="s">
        <v>153</v>
      </c>
      <c r="D33" t="s">
        <v>155</v>
      </c>
      <c r="E33" t="s">
        <v>154</v>
      </c>
      <c r="G33">
        <v>6</v>
      </c>
      <c r="H33" t="s">
        <v>341</v>
      </c>
      <c r="I33" t="s">
        <v>446</v>
      </c>
      <c r="J33" t="s">
        <v>445</v>
      </c>
      <c r="K33" t="s">
        <v>447</v>
      </c>
      <c r="M33">
        <v>25</v>
      </c>
      <c r="N33" t="s">
        <v>531</v>
      </c>
      <c r="O33" t="s">
        <v>550</v>
      </c>
      <c r="P33" t="s">
        <v>551</v>
      </c>
      <c r="Q33" t="s">
        <v>549</v>
      </c>
    </row>
    <row r="34" spans="1:17">
      <c r="A34">
        <v>11</v>
      </c>
      <c r="B34" t="s">
        <v>131</v>
      </c>
      <c r="C34" t="s">
        <v>49</v>
      </c>
      <c r="D34" t="s">
        <v>48</v>
      </c>
      <c r="E34" t="s">
        <v>47</v>
      </c>
      <c r="G34">
        <v>7</v>
      </c>
      <c r="H34" t="s">
        <v>575</v>
      </c>
      <c r="I34" t="s">
        <v>576</v>
      </c>
      <c r="J34" t="s">
        <v>577</v>
      </c>
      <c r="K34" t="s">
        <v>578</v>
      </c>
      <c r="M34">
        <v>26</v>
      </c>
      <c r="N34" t="s">
        <v>535</v>
      </c>
      <c r="O34" t="s">
        <v>553</v>
      </c>
      <c r="P34" t="s">
        <v>552</v>
      </c>
      <c r="Q34" t="s">
        <v>554</v>
      </c>
    </row>
    <row r="35" spans="1:17">
      <c r="A35">
        <v>12</v>
      </c>
      <c r="B35" t="s">
        <v>16</v>
      </c>
      <c r="C35" t="s">
        <v>60</v>
      </c>
      <c r="D35" t="s">
        <v>61</v>
      </c>
      <c r="E35" t="s">
        <v>62</v>
      </c>
      <c r="M35">
        <v>27</v>
      </c>
      <c r="N35" t="s">
        <v>532</v>
      </c>
      <c r="O35" t="s">
        <v>555</v>
      </c>
      <c r="P35" t="s">
        <v>556</v>
      </c>
      <c r="Q35" t="s">
        <v>532</v>
      </c>
    </row>
    <row r="36" spans="1:17">
      <c r="A36">
        <v>13</v>
      </c>
      <c r="B36" t="s">
        <v>1</v>
      </c>
      <c r="C36" t="s">
        <v>107</v>
      </c>
      <c r="D36" t="s">
        <v>45</v>
      </c>
      <c r="E36" t="s">
        <v>46</v>
      </c>
      <c r="M36">
        <v>28</v>
      </c>
      <c r="N36" t="s">
        <v>539</v>
      </c>
      <c r="O36" t="s">
        <v>558</v>
      </c>
      <c r="P36" t="s">
        <v>557</v>
      </c>
      <c r="Q36" t="s">
        <v>559</v>
      </c>
    </row>
    <row r="37" spans="1:17">
      <c r="A37">
        <v>14</v>
      </c>
      <c r="B37" t="s">
        <v>156</v>
      </c>
      <c r="C37" t="s">
        <v>157</v>
      </c>
      <c r="D37" t="s">
        <v>158</v>
      </c>
      <c r="E37" t="s">
        <v>156</v>
      </c>
    </row>
    <row r="38" spans="1:17">
      <c r="A38">
        <v>15</v>
      </c>
      <c r="B38" t="s">
        <v>159</v>
      </c>
      <c r="C38" t="s">
        <v>161</v>
      </c>
      <c r="D38" t="s">
        <v>160</v>
      </c>
      <c r="E38" t="s">
        <v>161</v>
      </c>
    </row>
    <row r="39" spans="1:17">
      <c r="A39">
        <v>16</v>
      </c>
      <c r="B39" t="s">
        <v>110</v>
      </c>
      <c r="C39" t="s">
        <v>111</v>
      </c>
      <c r="D39" t="s">
        <v>113</v>
      </c>
      <c r="E39" t="s">
        <v>112</v>
      </c>
    </row>
    <row r="40" spans="1:17">
      <c r="A40">
        <v>17</v>
      </c>
      <c r="B40" t="s">
        <v>115</v>
      </c>
      <c r="C40" t="s">
        <v>117</v>
      </c>
      <c r="D40" t="s">
        <v>114</v>
      </c>
      <c r="E40" t="s">
        <v>116</v>
      </c>
    </row>
    <row r="41" spans="1:17">
      <c r="A41">
        <v>18</v>
      </c>
      <c r="B41" t="s">
        <v>132</v>
      </c>
      <c r="C41" t="s">
        <v>134</v>
      </c>
      <c r="D41" t="s">
        <v>134</v>
      </c>
      <c r="E41" t="s">
        <v>134</v>
      </c>
    </row>
    <row r="42" spans="1:17">
      <c r="A42">
        <v>19</v>
      </c>
      <c r="B42" t="s">
        <v>133</v>
      </c>
      <c r="C42" t="s">
        <v>133</v>
      </c>
      <c r="D42" t="s">
        <v>133</v>
      </c>
      <c r="E42" t="s">
        <v>133</v>
      </c>
    </row>
    <row r="43" spans="1:17">
      <c r="A43">
        <v>20</v>
      </c>
      <c r="B43" t="s">
        <v>216</v>
      </c>
      <c r="C43" t="s">
        <v>217</v>
      </c>
      <c r="D43" t="s">
        <v>219</v>
      </c>
      <c r="E43" t="s">
        <v>218</v>
      </c>
    </row>
    <row r="44" spans="1:17">
      <c r="A44">
        <v>21</v>
      </c>
      <c r="B44" t="s">
        <v>215</v>
      </c>
      <c r="C44" t="s">
        <v>220</v>
      </c>
      <c r="D44" t="s">
        <v>222</v>
      </c>
      <c r="E44" t="s">
        <v>221</v>
      </c>
    </row>
    <row r="45" spans="1:17">
      <c r="A45">
        <v>22</v>
      </c>
      <c r="B45" t="s">
        <v>148</v>
      </c>
      <c r="C45" t="s">
        <v>150</v>
      </c>
      <c r="D45" t="s">
        <v>149</v>
      </c>
      <c r="E45" t="s">
        <v>151</v>
      </c>
    </row>
    <row r="46" spans="1:17">
      <c r="A46">
        <v>23</v>
      </c>
    </row>
    <row r="47" spans="1:17">
      <c r="A47">
        <v>24</v>
      </c>
      <c r="B47" t="s">
        <v>203</v>
      </c>
      <c r="C47" t="s">
        <v>205</v>
      </c>
      <c r="D47" t="s">
        <v>207</v>
      </c>
      <c r="E47" t="s">
        <v>206</v>
      </c>
    </row>
    <row r="48" spans="1:17">
      <c r="A48">
        <v>25</v>
      </c>
      <c r="B48" t="s">
        <v>204</v>
      </c>
      <c r="C48" t="s">
        <v>209</v>
      </c>
      <c r="D48" t="s">
        <v>208</v>
      </c>
      <c r="E48" t="s">
        <v>210</v>
      </c>
    </row>
    <row r="49" spans="1:5">
      <c r="A49">
        <v>26</v>
      </c>
      <c r="B49" t="s">
        <v>211</v>
      </c>
      <c r="C49" t="s">
        <v>213</v>
      </c>
      <c r="D49" t="s">
        <v>214</v>
      </c>
      <c r="E49" t="s">
        <v>212</v>
      </c>
    </row>
    <row r="50" spans="1:5">
      <c r="A50">
        <v>27</v>
      </c>
      <c r="B50" t="s">
        <v>227</v>
      </c>
      <c r="C50" t="s">
        <v>228</v>
      </c>
      <c r="D50" t="s">
        <v>230</v>
      </c>
      <c r="E50" t="s">
        <v>229</v>
      </c>
    </row>
    <row r="51" spans="1:5">
      <c r="A51">
        <v>28</v>
      </c>
      <c r="B51" t="s">
        <v>226</v>
      </c>
      <c r="C51" t="s">
        <v>232</v>
      </c>
      <c r="D51" t="s">
        <v>231</v>
      </c>
      <c r="E51" t="s">
        <v>233</v>
      </c>
    </row>
    <row r="52" spans="1:5">
      <c r="A52">
        <v>29</v>
      </c>
      <c r="B52" t="s">
        <v>225</v>
      </c>
      <c r="C52" t="s">
        <v>236</v>
      </c>
      <c r="D52" t="s">
        <v>235</v>
      </c>
      <c r="E52" t="s">
        <v>234</v>
      </c>
    </row>
    <row r="53" spans="1:5">
      <c r="A53">
        <v>30</v>
      </c>
    </row>
    <row r="54" spans="1:5">
      <c r="A54">
        <v>31</v>
      </c>
    </row>
  </sheetData>
  <pageMargins left="0.7" right="0.7" top="0.78740157499999996" bottom="0.78740157499999996" header="0.3" footer="0.3"/>
  <pageSetup paperSize="9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8CA7-C9C7-4A44-92FD-191BFA86BAC2}">
  <dimension ref="A1:AH30"/>
  <sheetViews>
    <sheetView topLeftCell="Q1" workbookViewId="0">
      <selection activeCell="AE19" sqref="AE19"/>
    </sheetView>
  </sheetViews>
  <sheetFormatPr baseColWidth="10" defaultRowHeight="15"/>
  <sheetData>
    <row r="1" spans="1:34">
      <c r="A1" t="s">
        <v>248</v>
      </c>
      <c r="B1" t="s">
        <v>249</v>
      </c>
      <c r="C1" t="s">
        <v>250</v>
      </c>
      <c r="D1" t="s">
        <v>251</v>
      </c>
      <c r="E1" t="s">
        <v>252</v>
      </c>
      <c r="F1" t="s">
        <v>253</v>
      </c>
      <c r="G1" t="s">
        <v>255</v>
      </c>
      <c r="H1" t="s">
        <v>372</v>
      </c>
      <c r="I1" t="s">
        <v>373</v>
      </c>
      <c r="J1" s="245" t="s">
        <v>563</v>
      </c>
      <c r="K1" s="246" t="s">
        <v>564</v>
      </c>
      <c r="L1" s="246" t="s">
        <v>372</v>
      </c>
      <c r="M1" s="246" t="s">
        <v>565</v>
      </c>
      <c r="N1" s="247" t="s">
        <v>373</v>
      </c>
      <c r="O1" s="245" t="s">
        <v>566</v>
      </c>
      <c r="P1" s="246" t="s">
        <v>564</v>
      </c>
      <c r="Q1" s="246" t="s">
        <v>372</v>
      </c>
      <c r="R1" s="246" t="s">
        <v>565</v>
      </c>
      <c r="S1" s="247" t="s">
        <v>373</v>
      </c>
      <c r="T1" s="245" t="s">
        <v>567</v>
      </c>
      <c r="U1" s="246" t="s">
        <v>564</v>
      </c>
      <c r="V1" s="246" t="s">
        <v>372</v>
      </c>
      <c r="W1" s="246" t="s">
        <v>565</v>
      </c>
      <c r="X1" s="247" t="s">
        <v>373</v>
      </c>
      <c r="Y1" s="245" t="s">
        <v>568</v>
      </c>
      <c r="Z1" s="246" t="s">
        <v>564</v>
      </c>
      <c r="AA1" s="246" t="s">
        <v>372</v>
      </c>
      <c r="AB1" s="246" t="s">
        <v>565</v>
      </c>
      <c r="AC1" s="247" t="s">
        <v>373</v>
      </c>
      <c r="AD1" s="245" t="s">
        <v>569</v>
      </c>
      <c r="AE1" s="246" t="s">
        <v>564</v>
      </c>
      <c r="AF1" s="246" t="s">
        <v>372</v>
      </c>
      <c r="AG1" s="246" t="s">
        <v>565</v>
      </c>
      <c r="AH1" s="247" t="s">
        <v>373</v>
      </c>
    </row>
    <row r="2" spans="1:34">
      <c r="A2" s="144">
        <v>0.12</v>
      </c>
      <c r="B2" s="145">
        <v>40</v>
      </c>
      <c r="C2" s="145">
        <v>50</v>
      </c>
      <c r="D2" s="145">
        <v>59.1</v>
      </c>
      <c r="E2" s="145">
        <v>64.8</v>
      </c>
      <c r="F2" s="146">
        <v>69.8</v>
      </c>
      <c r="G2" t="b">
        <f>IF(AND(Anmeldung!$D$25&lt;A3, Anmeldung!$D$25&gt;=A2),TRUE)</f>
        <v>0</v>
      </c>
      <c r="H2">
        <f>IF(Anmeldung!$I$25=Ersatz_Motor!$B$1,B2,IF(Anmeldung!$I$25=Ersatz_Motor!$C$1,C2,IF(Anmeldung!$I$25=Ersatz_Motor!$D$1,D2,IF(Anmeldung!$I$25=Ersatz_Motor!$E$1,E2,IF(Anmeldung!$I$25=Ersatz_Motor!$F$1,F2,0)))))</f>
        <v>0</v>
      </c>
      <c r="I2">
        <f>IF(Anmeldung!$I$26=Ersatz_Motor!$B$1,B2,IF(Anmeldung!$I$26=Ersatz_Motor!$C$1,C2,IF(Anmeldung!$I$26=Ersatz_Motor!$D$1,D2,IF(Anmeldung!$I$26=Ersatz_Motor!$E$1,E2,IF(Anmeldung!$I$26=Ersatz_Motor!$F$1,F2,0)))))</f>
        <v>0</v>
      </c>
      <c r="J2" s="248"/>
      <c r="K2" t="b">
        <f>IF(AND('Ersetzen Motoren'!$D$5&lt;A3, 'Ersetzen Motoren'!$D$5&gt;=A2),TRUE)</f>
        <v>0</v>
      </c>
      <c r="L2">
        <f>IF('Ersetzen Motoren'!$E$5=Ersatz_Motor!$B$1,B2,IF('Ersetzen Motoren'!$E$5=Ersatz_Motor!$C$1,C2,IF('Ersetzen Motoren'!$E$5=Ersatz_Motor!$D$1,D2,IF('Ersetzen Motoren'!$E$5=Ersatz_Motor!$E$1,E2,IF('Ersetzen Motoren'!$E$5=Ersatz_Motor!$F$1,F2,0)))))</f>
        <v>0</v>
      </c>
      <c r="M2" t="b">
        <f>IF(AND('Ersetzen Motoren'!$H$5&lt;A3, 'Ersetzen Motoren'!$H$5&gt;=A2),TRUE)</f>
        <v>0</v>
      </c>
      <c r="N2" s="249">
        <f>IF('Ersetzen Motoren'!$I$5=Ersatz_Motor!$B$1,B2,IF('Ersetzen Motoren'!$I$5=Ersatz_Motor!$C$1,C2,IF('Ersetzen Motoren'!$I$5=Ersatz_Motor!$D$1,D2,IF('Ersetzen Motoren'!$I$5=Ersatz_Motor!$E$1,E2,IF('Ersetzen Motoren'!$I$5=Ersatz_Motor!$F$1,F2,0)))))</f>
        <v>0</v>
      </c>
      <c r="O2" s="248"/>
      <c r="P2" t="b">
        <f>IF(AND('Ersetzen Motoren'!$D$6&lt;A3, 'Ersetzen Motoren'!$D$6&gt;=A2),TRUE)</f>
        <v>0</v>
      </c>
      <c r="Q2">
        <f>IF('Ersetzen Motoren'!$E$6=Ersatz_Motor!$B$1,B2,IF('Ersetzen Motoren'!$E$6=Ersatz_Motor!$C$1,C2,IF('Ersetzen Motoren'!$E$6=Ersatz_Motor!$D$1,D2,IF('Ersetzen Motoren'!$E$6=Ersatz_Motor!$E$1,E2,IF('Ersetzen Motoren'!$E$6=Ersatz_Motor!$F$1,F2,0)))))</f>
        <v>0</v>
      </c>
      <c r="R2" t="b">
        <f>IF(AND('Ersetzen Motoren'!$H$6&lt;A3, 'Ersetzen Motoren'!$H$6&gt;=A2),TRUE)</f>
        <v>0</v>
      </c>
      <c r="S2" s="249">
        <f>IF('Ersetzen Motoren'!$I$6=Ersatz_Motor!$B$1,B2,IF('Ersetzen Motoren'!$I$6=Ersatz_Motor!$C$1,C2,IF('Ersetzen Motoren'!$I$6=Ersatz_Motor!$D$1,D2,IF('Ersetzen Motoren'!$I$6=Ersatz_Motor!$E$1,E2,IF('Ersetzen Motoren'!$I$6=Ersatz_Motor!$F$1,F2,0)))))</f>
        <v>0</v>
      </c>
      <c r="T2" s="248"/>
      <c r="U2" t="b">
        <f>IF(AND('Ersetzen Motoren'!$D$7&lt;A3, 'Ersetzen Motoren'!$D$7&gt;=A2),TRUE)</f>
        <v>0</v>
      </c>
      <c r="V2">
        <f>IF('Ersetzen Motoren'!$E$7=Ersatz_Motor!$B$1,B2,IF('Ersetzen Motoren'!$E$7=Ersatz_Motor!$C$1,C2,IF('Ersetzen Motoren'!$E$7=Ersatz_Motor!$D$1,D2,IF('Ersetzen Motoren'!$E$7=Ersatz_Motor!$E$1,E2,IF('Ersetzen Motoren'!$E$7=Ersatz_Motor!$F$1,F2,0)))))</f>
        <v>0</v>
      </c>
      <c r="W2" t="b">
        <f>IF(AND('Ersetzen Motoren'!$H$7&lt;A3, 'Ersetzen Motoren'!$H$7&gt;=A2),TRUE)</f>
        <v>0</v>
      </c>
      <c r="X2" s="249">
        <f>IF('Ersetzen Motoren'!$I$7=Ersatz_Motor!$B$1,B2,IF('Ersetzen Motoren'!$I$7=Ersatz_Motor!$C$1,C2,IF('Ersetzen Motoren'!$I$7=Ersatz_Motor!$D$1,D2,IF('Ersetzen Motoren'!$I$7=Ersatz_Motor!$E$1,E2,IF('Ersetzen Motoren'!$I$7=Ersatz_Motor!$F$1,F2,0)))))</f>
        <v>0</v>
      </c>
      <c r="Y2" s="248"/>
      <c r="Z2" t="b">
        <f>IF(AND('Ersetzen Motoren'!$D$8&lt;A3, 'Ersetzen Motoren'!$D$8&gt;=A2),TRUE)</f>
        <v>0</v>
      </c>
      <c r="AA2">
        <f>IF('Ersetzen Motoren'!$E$8=Ersatz_Motor!$B$1,B2,IF('Ersetzen Motoren'!$E$8=Ersatz_Motor!$C$1,C2,IF('Ersetzen Motoren'!$E$8=Ersatz_Motor!$D$1,D2,IF('Ersetzen Motoren'!$E$8=Ersatz_Motor!$E$1,E2,IF('Ersetzen Motoren'!$E$8=Ersatz_Motor!$F$1,F2,0)))))</f>
        <v>0</v>
      </c>
      <c r="AB2" t="b">
        <f>IF(AND('Ersetzen Motoren'!$H$8&lt;A3, 'Ersetzen Motoren'!$H$8&gt;=A2),TRUE)</f>
        <v>0</v>
      </c>
      <c r="AC2" s="249">
        <f>IF('Ersetzen Motoren'!$I$8=Ersatz_Motor!$B$1,B2,IF('Ersetzen Motoren'!$I$8=Ersatz_Motor!$C$1,C2,IF('Ersetzen Motoren'!$I$8=Ersatz_Motor!$D$1,D2,IF('Ersetzen Motoren'!$I$8=Ersatz_Motor!$E$1,E2,IF('Ersetzen Motoren'!$I$8=Ersatz_Motor!$F$1,F2,0)))))</f>
        <v>0</v>
      </c>
      <c r="AD2" s="248"/>
      <c r="AE2" t="b">
        <f>IF(AND('Ersetzen Motoren'!$D$9&lt;A3, 'Ersetzen Motoren'!$D$9&gt;=A2),TRUE)</f>
        <v>0</v>
      </c>
      <c r="AF2">
        <f>IF('Ersetzen Motoren'!$E$9=Ersatz_Motor!$B$1,B2,IF('Ersetzen Motoren'!$E$9=Ersatz_Motor!$C$1,C2,IF('Ersetzen Motoren'!$E$9=Ersatz_Motor!$D$1,D2,IF('Ersetzen Motoren'!$E$9=Ersatz_Motor!$E$1,E2,IF('Ersetzen Motoren'!$E$9=Ersatz_Motor!$F$1,F2,0)))))</f>
        <v>0</v>
      </c>
      <c r="AG2" t="b">
        <f>IF(AND('Ersetzen Motoren'!$H$9&lt;A3, 'Ersetzen Motoren'!$H$9&gt;=A2),TRUE)</f>
        <v>0</v>
      </c>
      <c r="AH2" s="249">
        <f>IF('Ersetzen Motoren'!$I$9=Ersatz_Motor!$B$1,B2,IF('Ersetzen Motoren'!$I$9=Ersatz_Motor!$C$1,C2,IF('Ersetzen Motoren'!$I$9=Ersatz_Motor!$D$1,D2,IF('Ersetzen Motoren'!$I$9=Ersatz_Motor!$E$1,E2,IF('Ersetzen Motoren'!$I$9=Ersatz_Motor!$F$1,F2,0)))))</f>
        <v>0</v>
      </c>
    </row>
    <row r="3" spans="1:34">
      <c r="A3" s="144">
        <v>0.18</v>
      </c>
      <c r="B3" s="147">
        <v>48.4</v>
      </c>
      <c r="C3" s="147">
        <v>57</v>
      </c>
      <c r="D3" s="147">
        <v>64.7</v>
      </c>
      <c r="E3" s="147">
        <v>69.900000000000006</v>
      </c>
      <c r="F3" s="148">
        <v>74.7</v>
      </c>
      <c r="G3" t="b">
        <f>IF(AND(Anmeldung!$D$25&lt;A4, Anmeldung!$D$25&gt;=A3),TRUE)</f>
        <v>0</v>
      </c>
      <c r="H3">
        <f>IF(Anmeldung!$I$25=Ersatz_Motor!$B$1,B3,IF(Anmeldung!$I$25=Ersatz_Motor!$C$1,C3,IF(Anmeldung!$I$25=Ersatz_Motor!$D$1,D3,IF(Anmeldung!$I$25=Ersatz_Motor!$E$1,E3,IF(Anmeldung!$I$25=Ersatz_Motor!$F$1,F3,0)))))</f>
        <v>0</v>
      </c>
      <c r="I3">
        <f>IF(Anmeldung!$I$26=Ersatz_Motor!$B$1,B3,IF(Anmeldung!$I$26=Ersatz_Motor!$C$1,C3,IF(Anmeldung!$I$26=Ersatz_Motor!$D$1,D3,IF(Anmeldung!$I$26=Ersatz_Motor!$E$1,E3,IF(Anmeldung!$I$26=Ersatz_Motor!$F$1,F3,0)))))</f>
        <v>0</v>
      </c>
      <c r="J3" s="248"/>
      <c r="K3" t="b">
        <f>IF(AND('Ersetzen Motoren'!$D$5&lt;A4, 'Ersetzen Motoren'!$D$5&gt;=A3),TRUE)</f>
        <v>0</v>
      </c>
      <c r="L3">
        <f>IF('Ersetzen Motoren'!$E$5=Ersatz_Motor!$B$1,B3,IF('Ersetzen Motoren'!$E$5=Ersatz_Motor!$C$1,C3,IF('Ersetzen Motoren'!$E$5=Ersatz_Motor!$D$1,D3,IF('Ersetzen Motoren'!$E$5=Ersatz_Motor!$E$1,E3,IF('Ersetzen Motoren'!$E$5=Ersatz_Motor!$F$1,F3,0)))))</f>
        <v>0</v>
      </c>
      <c r="M3" t="b">
        <f>IF(AND('Ersetzen Motoren'!$H$5&lt;A4, 'Ersetzen Motoren'!$H$5&gt;=A3),TRUE)</f>
        <v>0</v>
      </c>
      <c r="N3" s="249">
        <f>IF('Ersetzen Motoren'!$I$5=Ersatz_Motor!$B$1,B3,IF('Ersetzen Motoren'!$I$5=Ersatz_Motor!$C$1,C3,IF('Ersetzen Motoren'!$I$5=Ersatz_Motor!$D$1,D3,IF('Ersetzen Motoren'!$I$5=Ersatz_Motor!$E$1,E3,IF('Ersetzen Motoren'!$I$5=Ersatz_Motor!$F$1,F3,0)))))</f>
        <v>0</v>
      </c>
      <c r="O3" s="248"/>
      <c r="P3" t="b">
        <f>IF(AND('Ersetzen Motoren'!$D$6&lt;A4, 'Ersetzen Motoren'!$D$6&gt;=A3),TRUE)</f>
        <v>0</v>
      </c>
      <c r="Q3">
        <f>IF('Ersetzen Motoren'!$E$6=Ersatz_Motor!$B$1,B3,IF('Ersetzen Motoren'!$E$6=Ersatz_Motor!$C$1,C3,IF('Ersetzen Motoren'!$E$6=Ersatz_Motor!$D$1,D3,IF('Ersetzen Motoren'!$E$6=Ersatz_Motor!$E$1,E3,IF('Ersetzen Motoren'!$E$6=Ersatz_Motor!$F$1,F3,0)))))</f>
        <v>0</v>
      </c>
      <c r="R3" t="b">
        <f>IF(AND('Ersetzen Motoren'!$H$6&lt;A4, 'Ersetzen Motoren'!$H$6&gt;=A3),TRUE)</f>
        <v>0</v>
      </c>
      <c r="S3" s="249">
        <f>IF('Ersetzen Motoren'!$I$6=Ersatz_Motor!$B$1,B3,IF('Ersetzen Motoren'!$I$6=Ersatz_Motor!$C$1,C3,IF('Ersetzen Motoren'!$I$6=Ersatz_Motor!$D$1,D3,IF('Ersetzen Motoren'!$I$6=Ersatz_Motor!$E$1,E3,IF('Ersetzen Motoren'!$I$6=Ersatz_Motor!$F$1,F3,0)))))</f>
        <v>0</v>
      </c>
      <c r="T3" s="248"/>
      <c r="U3" t="b">
        <f>IF(AND('Ersetzen Motoren'!$D$7&lt;A4, 'Ersetzen Motoren'!$D$7&gt;=A3),TRUE)</f>
        <v>0</v>
      </c>
      <c r="V3">
        <f>IF('Ersetzen Motoren'!$E$7=Ersatz_Motor!$B$1,B3,IF('Ersetzen Motoren'!$E$7=Ersatz_Motor!$C$1,C3,IF('Ersetzen Motoren'!$E$7=Ersatz_Motor!$D$1,D3,IF('Ersetzen Motoren'!$E$7=Ersatz_Motor!$E$1,E3,IF('Ersetzen Motoren'!$E$7=Ersatz_Motor!$F$1,F3,0)))))</f>
        <v>0</v>
      </c>
      <c r="W3" t="b">
        <f>IF(AND('Ersetzen Motoren'!$H$7&lt;A4, 'Ersetzen Motoren'!$H$7&gt;=A3),TRUE)</f>
        <v>0</v>
      </c>
      <c r="X3" s="249">
        <f>IF('Ersetzen Motoren'!$I$7=Ersatz_Motor!$B$1,B3,IF('Ersetzen Motoren'!$I$7=Ersatz_Motor!$C$1,C3,IF('Ersetzen Motoren'!$I$7=Ersatz_Motor!$D$1,D3,IF('Ersetzen Motoren'!$I$7=Ersatz_Motor!$E$1,E3,IF('Ersetzen Motoren'!$I$7=Ersatz_Motor!$F$1,F3,0)))))</f>
        <v>0</v>
      </c>
      <c r="Y3" s="248"/>
      <c r="Z3" t="b">
        <f>IF(AND('Ersetzen Motoren'!$D$8&lt;A4, 'Ersetzen Motoren'!$D$8&gt;=A3),TRUE)</f>
        <v>0</v>
      </c>
      <c r="AA3">
        <f>IF('Ersetzen Motoren'!$E$8=Ersatz_Motor!$B$1,B3,IF('Ersetzen Motoren'!$E$8=Ersatz_Motor!$C$1,C3,IF('Ersetzen Motoren'!$E$8=Ersatz_Motor!$D$1,D3,IF('Ersetzen Motoren'!$E$8=Ersatz_Motor!$E$1,E3,IF('Ersetzen Motoren'!$E$8=Ersatz_Motor!$F$1,F3,0)))))</f>
        <v>0</v>
      </c>
      <c r="AB3" t="b">
        <f>IF(AND('Ersetzen Motoren'!$H$8&lt;A4, 'Ersetzen Motoren'!$H$8&gt;=A3),TRUE)</f>
        <v>0</v>
      </c>
      <c r="AC3" s="249">
        <f>IF('Ersetzen Motoren'!$I$8=Ersatz_Motor!$B$1,B3,IF('Ersetzen Motoren'!$I$8=Ersatz_Motor!$C$1,C3,IF('Ersetzen Motoren'!$I$8=Ersatz_Motor!$D$1,D3,IF('Ersetzen Motoren'!$I$8=Ersatz_Motor!$E$1,E3,IF('Ersetzen Motoren'!$I$8=Ersatz_Motor!$F$1,F3,0)))))</f>
        <v>0</v>
      </c>
      <c r="AD3" s="248"/>
      <c r="AE3" t="b">
        <f>IF(AND('Ersetzen Motoren'!$D$9&lt;A4, 'Ersetzen Motoren'!$D$9&gt;=A3),TRUE)</f>
        <v>0</v>
      </c>
      <c r="AF3">
        <f>IF('Ersetzen Motoren'!$E$9=Ersatz_Motor!$B$1,B3,IF('Ersetzen Motoren'!$E$9=Ersatz_Motor!$C$1,C3,IF('Ersetzen Motoren'!$E$9=Ersatz_Motor!$D$1,D3,IF('Ersetzen Motoren'!$E$9=Ersatz_Motor!$E$1,E3,IF('Ersetzen Motoren'!$E$9=Ersatz_Motor!$F$1,F3,0)))))</f>
        <v>0</v>
      </c>
      <c r="AG3" t="b">
        <f>IF(AND('Ersetzen Motoren'!$H$9&lt;A4, 'Ersetzen Motoren'!$H$9&gt;=A3),TRUE)</f>
        <v>0</v>
      </c>
      <c r="AH3" s="249">
        <f>IF('Ersetzen Motoren'!$I$9=Ersatz_Motor!$B$1,B3,IF('Ersetzen Motoren'!$I$9=Ersatz_Motor!$C$1,C3,IF('Ersetzen Motoren'!$I$9=Ersatz_Motor!$D$1,D3,IF('Ersetzen Motoren'!$I$9=Ersatz_Motor!$E$1,E3,IF('Ersetzen Motoren'!$I$9=Ersatz_Motor!$F$1,F3,0)))))</f>
        <v>0</v>
      </c>
    </row>
    <row r="4" spans="1:34">
      <c r="A4" s="144">
        <v>0.2</v>
      </c>
      <c r="B4" s="147">
        <v>50.2</v>
      </c>
      <c r="C4" s="147">
        <v>58.8</v>
      </c>
      <c r="D4" s="147">
        <v>65.900000000000006</v>
      </c>
      <c r="E4" s="147">
        <v>71.099999999999994</v>
      </c>
      <c r="F4" s="148">
        <v>75.8</v>
      </c>
      <c r="G4" t="b">
        <f>IF(AND(Anmeldung!$D$25&lt;A5, Anmeldung!$D$25&gt;=A4),TRUE)</f>
        <v>0</v>
      </c>
      <c r="H4">
        <f>IF(Anmeldung!$I$25=Ersatz_Motor!$B$1,B4,IF(Anmeldung!$I$25=Ersatz_Motor!$C$1,C4,IF(Anmeldung!$I$25=Ersatz_Motor!$D$1,D4,IF(Anmeldung!$I$25=Ersatz_Motor!$E$1,E4,IF(Anmeldung!$I$25=Ersatz_Motor!$F$1,F4,0)))))</f>
        <v>0</v>
      </c>
      <c r="I4">
        <f>IF(Anmeldung!$I$26=Ersatz_Motor!$B$1,B4,IF(Anmeldung!$I$26=Ersatz_Motor!$C$1,C4,IF(Anmeldung!$I$26=Ersatz_Motor!$D$1,D4,IF(Anmeldung!$I$26=Ersatz_Motor!$E$1,E4,IF(Anmeldung!$I$26=Ersatz_Motor!$F$1,F4,0)))))</f>
        <v>0</v>
      </c>
      <c r="J4" s="248"/>
      <c r="K4" t="b">
        <f>IF(AND('Ersetzen Motoren'!$D$5&lt;A5, 'Ersetzen Motoren'!$D$5&gt;=A4),TRUE)</f>
        <v>0</v>
      </c>
      <c r="L4">
        <f>IF('Ersetzen Motoren'!$E$5=Ersatz_Motor!$B$1,B4,IF('Ersetzen Motoren'!$E$5=Ersatz_Motor!$C$1,C4,IF('Ersetzen Motoren'!$E$5=Ersatz_Motor!$D$1,D4,IF('Ersetzen Motoren'!$E$5=Ersatz_Motor!$E$1,E4,IF('Ersetzen Motoren'!$E$5=Ersatz_Motor!$F$1,F4,0)))))</f>
        <v>0</v>
      </c>
      <c r="M4" t="b">
        <f>IF(AND('Ersetzen Motoren'!$H$5&lt;A5, 'Ersetzen Motoren'!$H$5&gt;=A4),TRUE)</f>
        <v>0</v>
      </c>
      <c r="N4" s="249">
        <f>IF('Ersetzen Motoren'!$I$5=Ersatz_Motor!$B$1,B4,IF('Ersetzen Motoren'!$I$5=Ersatz_Motor!$C$1,C4,IF('Ersetzen Motoren'!$I$5=Ersatz_Motor!$D$1,D4,IF('Ersetzen Motoren'!$I$5=Ersatz_Motor!$E$1,E4,IF('Ersetzen Motoren'!$I$5=Ersatz_Motor!$F$1,F4,0)))))</f>
        <v>0</v>
      </c>
      <c r="O4" s="248"/>
      <c r="P4" t="b">
        <f>IF(AND('Ersetzen Motoren'!$D$6&lt;A5, 'Ersetzen Motoren'!$D$6&gt;=A4),TRUE)</f>
        <v>0</v>
      </c>
      <c r="Q4">
        <f>IF('Ersetzen Motoren'!$E$6=Ersatz_Motor!$B$1,B4,IF('Ersetzen Motoren'!$E$6=Ersatz_Motor!$C$1,C4,IF('Ersetzen Motoren'!$E$6=Ersatz_Motor!$D$1,D4,IF('Ersetzen Motoren'!$E$6=Ersatz_Motor!$E$1,E4,IF('Ersetzen Motoren'!$E$6=Ersatz_Motor!$F$1,F4,0)))))</f>
        <v>0</v>
      </c>
      <c r="R4" t="b">
        <f>IF(AND('Ersetzen Motoren'!$H$6&lt;A5, 'Ersetzen Motoren'!$H$6&gt;=A4),TRUE)</f>
        <v>0</v>
      </c>
      <c r="S4" s="249">
        <f>IF('Ersetzen Motoren'!$I$6=Ersatz_Motor!$B$1,B4,IF('Ersetzen Motoren'!$I$6=Ersatz_Motor!$C$1,C4,IF('Ersetzen Motoren'!$I$6=Ersatz_Motor!$D$1,D4,IF('Ersetzen Motoren'!$I$6=Ersatz_Motor!$E$1,E4,IF('Ersetzen Motoren'!$I$6=Ersatz_Motor!$F$1,F4,0)))))</f>
        <v>0</v>
      </c>
      <c r="T4" s="248"/>
      <c r="U4" t="b">
        <f>IF(AND('Ersetzen Motoren'!$D$7&lt;A5, 'Ersetzen Motoren'!$D$7&gt;=A4),TRUE)</f>
        <v>0</v>
      </c>
      <c r="V4">
        <f>IF('Ersetzen Motoren'!$E$7=Ersatz_Motor!$B$1,B4,IF('Ersetzen Motoren'!$E$7=Ersatz_Motor!$C$1,C4,IF('Ersetzen Motoren'!$E$7=Ersatz_Motor!$D$1,D4,IF('Ersetzen Motoren'!$E$7=Ersatz_Motor!$E$1,E4,IF('Ersetzen Motoren'!$E$7=Ersatz_Motor!$F$1,F4,0)))))</f>
        <v>0</v>
      </c>
      <c r="W4" t="b">
        <f>IF(AND('Ersetzen Motoren'!$H$7&lt;A5, 'Ersetzen Motoren'!$H$7&gt;=A4),TRUE)</f>
        <v>0</v>
      </c>
      <c r="X4" s="249">
        <f>IF('Ersetzen Motoren'!$I$7=Ersatz_Motor!$B$1,B4,IF('Ersetzen Motoren'!$I$7=Ersatz_Motor!$C$1,C4,IF('Ersetzen Motoren'!$I$7=Ersatz_Motor!$D$1,D4,IF('Ersetzen Motoren'!$I$7=Ersatz_Motor!$E$1,E4,IF('Ersetzen Motoren'!$I$7=Ersatz_Motor!$F$1,F4,0)))))</f>
        <v>0</v>
      </c>
      <c r="Y4" s="248"/>
      <c r="Z4" t="b">
        <f>IF(AND('Ersetzen Motoren'!$D$8&lt;A5, 'Ersetzen Motoren'!$D$8&gt;=A4),TRUE)</f>
        <v>0</v>
      </c>
      <c r="AA4">
        <f>IF('Ersetzen Motoren'!$E$8=Ersatz_Motor!$B$1,B4,IF('Ersetzen Motoren'!$E$8=Ersatz_Motor!$C$1,C4,IF('Ersetzen Motoren'!$E$8=Ersatz_Motor!$D$1,D4,IF('Ersetzen Motoren'!$E$8=Ersatz_Motor!$E$1,E4,IF('Ersetzen Motoren'!$E$8=Ersatz_Motor!$F$1,F4,0)))))</f>
        <v>0</v>
      </c>
      <c r="AB4" t="b">
        <f>IF(AND('Ersetzen Motoren'!$H$8&lt;A5, 'Ersetzen Motoren'!$H$8&gt;=A4),TRUE)</f>
        <v>0</v>
      </c>
      <c r="AC4" s="249">
        <f>IF('Ersetzen Motoren'!$I$8=Ersatz_Motor!$B$1,B4,IF('Ersetzen Motoren'!$I$8=Ersatz_Motor!$C$1,C4,IF('Ersetzen Motoren'!$I$8=Ersatz_Motor!$D$1,D4,IF('Ersetzen Motoren'!$I$8=Ersatz_Motor!$E$1,E4,IF('Ersetzen Motoren'!$I$8=Ersatz_Motor!$F$1,F4,0)))))</f>
        <v>0</v>
      </c>
      <c r="AD4" s="248"/>
      <c r="AE4" t="b">
        <f>IF(AND('Ersetzen Motoren'!$D$9&lt;A5, 'Ersetzen Motoren'!$D$9&gt;=A4),TRUE)</f>
        <v>0</v>
      </c>
      <c r="AF4">
        <f>IF('Ersetzen Motoren'!$E$9=Ersatz_Motor!$B$1,B4,IF('Ersetzen Motoren'!$E$9=Ersatz_Motor!$C$1,C4,IF('Ersetzen Motoren'!$E$9=Ersatz_Motor!$D$1,D4,IF('Ersetzen Motoren'!$E$9=Ersatz_Motor!$E$1,E4,IF('Ersetzen Motoren'!$E$9=Ersatz_Motor!$F$1,F4,0)))))</f>
        <v>0</v>
      </c>
      <c r="AG4" t="b">
        <f>IF(AND('Ersetzen Motoren'!$H$9&lt;A5, 'Ersetzen Motoren'!$H$9&gt;=A4),TRUE)</f>
        <v>0</v>
      </c>
      <c r="AH4" s="249">
        <f>IF('Ersetzen Motoren'!$I$9=Ersatz_Motor!$B$1,B4,IF('Ersetzen Motoren'!$I$9=Ersatz_Motor!$C$1,C4,IF('Ersetzen Motoren'!$I$9=Ersatz_Motor!$D$1,D4,IF('Ersetzen Motoren'!$I$9=Ersatz_Motor!$E$1,E4,IF('Ersetzen Motoren'!$I$9=Ersatz_Motor!$F$1,F4,0)))))</f>
        <v>0</v>
      </c>
    </row>
    <row r="5" spans="1:34">
      <c r="A5" s="144">
        <v>0.25</v>
      </c>
      <c r="B5" s="147">
        <v>53.8</v>
      </c>
      <c r="C5" s="147">
        <v>61.5</v>
      </c>
      <c r="D5" s="147">
        <v>68.5</v>
      </c>
      <c r="E5" s="147">
        <v>73.5</v>
      </c>
      <c r="F5" s="148">
        <v>77.900000000000006</v>
      </c>
      <c r="G5" t="b">
        <f>IF(AND(Anmeldung!$D$25&lt;A6, Anmeldung!$D$25&gt;=A5),TRUE)</f>
        <v>0</v>
      </c>
      <c r="H5">
        <f>IF(Anmeldung!$I$25=Ersatz_Motor!$B$1,B5,IF(Anmeldung!$I$25=Ersatz_Motor!$C$1,C5,IF(Anmeldung!$I$25=Ersatz_Motor!$D$1,D5,IF(Anmeldung!$I$25=Ersatz_Motor!$E$1,E5,IF(Anmeldung!$I$25=Ersatz_Motor!$F$1,F5,0)))))</f>
        <v>0</v>
      </c>
      <c r="I5">
        <f>IF(Anmeldung!$I$26=Ersatz_Motor!$B$1,B5,IF(Anmeldung!$I$26=Ersatz_Motor!$C$1,C5,IF(Anmeldung!$I$26=Ersatz_Motor!$D$1,D5,IF(Anmeldung!$I$26=Ersatz_Motor!$E$1,E5,IF(Anmeldung!$I$26=Ersatz_Motor!$F$1,F5,0)))))</f>
        <v>0</v>
      </c>
      <c r="J5" s="248"/>
      <c r="K5" t="b">
        <f>IF(AND('Ersetzen Motoren'!$D$5&lt;A6, 'Ersetzen Motoren'!$D$5&gt;=A5),TRUE)</f>
        <v>0</v>
      </c>
      <c r="L5">
        <f>IF('Ersetzen Motoren'!$E$5=Ersatz_Motor!$B$1,B5,IF('Ersetzen Motoren'!$E$5=Ersatz_Motor!$C$1,C5,IF('Ersetzen Motoren'!$E$5=Ersatz_Motor!$D$1,D5,IF('Ersetzen Motoren'!$E$5=Ersatz_Motor!$E$1,E5,IF('Ersetzen Motoren'!$E$5=Ersatz_Motor!$F$1,F5,0)))))</f>
        <v>0</v>
      </c>
      <c r="M5" t="b">
        <f>IF(AND('Ersetzen Motoren'!$H$5&lt;A6, 'Ersetzen Motoren'!$H$5&gt;=A5),TRUE)</f>
        <v>0</v>
      </c>
      <c r="N5" s="249">
        <f>IF('Ersetzen Motoren'!$I$5=Ersatz_Motor!$B$1,B5,IF('Ersetzen Motoren'!$I$5=Ersatz_Motor!$C$1,C5,IF('Ersetzen Motoren'!$I$5=Ersatz_Motor!$D$1,D5,IF('Ersetzen Motoren'!$I$5=Ersatz_Motor!$E$1,E5,IF('Ersetzen Motoren'!$I$5=Ersatz_Motor!$F$1,F5,0)))))</f>
        <v>0</v>
      </c>
      <c r="O5" s="248"/>
      <c r="P5" t="b">
        <f>IF(AND('Ersetzen Motoren'!$D$6&lt;A6, 'Ersetzen Motoren'!$D$6&gt;=A5),TRUE)</f>
        <v>0</v>
      </c>
      <c r="Q5">
        <f>IF('Ersetzen Motoren'!$E$6=Ersatz_Motor!$B$1,B5,IF('Ersetzen Motoren'!$E$6=Ersatz_Motor!$C$1,C5,IF('Ersetzen Motoren'!$E$6=Ersatz_Motor!$D$1,D5,IF('Ersetzen Motoren'!$E$6=Ersatz_Motor!$E$1,E5,IF('Ersetzen Motoren'!$E$6=Ersatz_Motor!$F$1,F5,0)))))</f>
        <v>0</v>
      </c>
      <c r="R5" t="b">
        <f>IF(AND('Ersetzen Motoren'!$H$6&lt;A6, 'Ersetzen Motoren'!$H$6&gt;=A5),TRUE)</f>
        <v>0</v>
      </c>
      <c r="S5" s="249">
        <f>IF('Ersetzen Motoren'!$I$6=Ersatz_Motor!$B$1,B5,IF('Ersetzen Motoren'!$I$6=Ersatz_Motor!$C$1,C5,IF('Ersetzen Motoren'!$I$6=Ersatz_Motor!$D$1,D5,IF('Ersetzen Motoren'!$I$6=Ersatz_Motor!$E$1,E5,IF('Ersetzen Motoren'!$I$6=Ersatz_Motor!$F$1,F5,0)))))</f>
        <v>0</v>
      </c>
      <c r="T5" s="248"/>
      <c r="U5" t="b">
        <f>IF(AND('Ersetzen Motoren'!$D$7&lt;A6, 'Ersetzen Motoren'!$D$7&gt;=A5),TRUE)</f>
        <v>0</v>
      </c>
      <c r="V5">
        <f>IF('Ersetzen Motoren'!$E$7=Ersatz_Motor!$B$1,B5,IF('Ersetzen Motoren'!$E$7=Ersatz_Motor!$C$1,C5,IF('Ersetzen Motoren'!$E$7=Ersatz_Motor!$D$1,D5,IF('Ersetzen Motoren'!$E$7=Ersatz_Motor!$E$1,E5,IF('Ersetzen Motoren'!$E$7=Ersatz_Motor!$F$1,F5,0)))))</f>
        <v>0</v>
      </c>
      <c r="W5" t="b">
        <f>IF(AND('Ersetzen Motoren'!$H$7&lt;A6, 'Ersetzen Motoren'!$H$7&gt;=A5),TRUE)</f>
        <v>0</v>
      </c>
      <c r="X5" s="249">
        <f>IF('Ersetzen Motoren'!$I$7=Ersatz_Motor!$B$1,B5,IF('Ersetzen Motoren'!$I$7=Ersatz_Motor!$C$1,C5,IF('Ersetzen Motoren'!$I$7=Ersatz_Motor!$D$1,D5,IF('Ersetzen Motoren'!$I$7=Ersatz_Motor!$E$1,E5,IF('Ersetzen Motoren'!$I$7=Ersatz_Motor!$F$1,F5,0)))))</f>
        <v>0</v>
      </c>
      <c r="Y5" s="248"/>
      <c r="Z5" t="b">
        <f>IF(AND('Ersetzen Motoren'!$D$8&lt;A6, 'Ersetzen Motoren'!$D$8&gt;=A5),TRUE)</f>
        <v>0</v>
      </c>
      <c r="AA5">
        <f>IF('Ersetzen Motoren'!$E$8=Ersatz_Motor!$B$1,B5,IF('Ersetzen Motoren'!$E$8=Ersatz_Motor!$C$1,C5,IF('Ersetzen Motoren'!$E$8=Ersatz_Motor!$D$1,D5,IF('Ersetzen Motoren'!$E$8=Ersatz_Motor!$E$1,E5,IF('Ersetzen Motoren'!$E$8=Ersatz_Motor!$F$1,F5,0)))))</f>
        <v>0</v>
      </c>
      <c r="AB5" t="b">
        <f>IF(AND('Ersetzen Motoren'!$H$8&lt;A6, 'Ersetzen Motoren'!$H$8&gt;=A5),TRUE)</f>
        <v>0</v>
      </c>
      <c r="AC5" s="249">
        <f>IF('Ersetzen Motoren'!$I$8=Ersatz_Motor!$B$1,B5,IF('Ersetzen Motoren'!$I$8=Ersatz_Motor!$C$1,C5,IF('Ersetzen Motoren'!$I$8=Ersatz_Motor!$D$1,D5,IF('Ersetzen Motoren'!$I$8=Ersatz_Motor!$E$1,E5,IF('Ersetzen Motoren'!$I$8=Ersatz_Motor!$F$1,F5,0)))))</f>
        <v>0</v>
      </c>
      <c r="AD5" s="248"/>
      <c r="AE5" t="b">
        <f>IF(AND('Ersetzen Motoren'!$D$9&lt;A6, 'Ersetzen Motoren'!$D$9&gt;=A5),TRUE)</f>
        <v>0</v>
      </c>
      <c r="AF5">
        <f>IF('Ersetzen Motoren'!$E$9=Ersatz_Motor!$B$1,B5,IF('Ersetzen Motoren'!$E$9=Ersatz_Motor!$C$1,C5,IF('Ersetzen Motoren'!$E$9=Ersatz_Motor!$D$1,D5,IF('Ersetzen Motoren'!$E$9=Ersatz_Motor!$E$1,E5,IF('Ersetzen Motoren'!$E$9=Ersatz_Motor!$F$1,F5,0)))))</f>
        <v>0</v>
      </c>
      <c r="AG5" t="b">
        <f>IF(AND('Ersetzen Motoren'!$H$9&lt;A6, 'Ersetzen Motoren'!$H$9&gt;=A5),TRUE)</f>
        <v>0</v>
      </c>
      <c r="AH5" s="249">
        <f>IF('Ersetzen Motoren'!$I$9=Ersatz_Motor!$B$1,B5,IF('Ersetzen Motoren'!$I$9=Ersatz_Motor!$C$1,C5,IF('Ersetzen Motoren'!$I$9=Ersatz_Motor!$D$1,D5,IF('Ersetzen Motoren'!$I$9=Ersatz_Motor!$E$1,E5,IF('Ersetzen Motoren'!$I$9=Ersatz_Motor!$F$1,F5,0)))))</f>
        <v>0</v>
      </c>
    </row>
    <row r="6" spans="1:34">
      <c r="A6" s="144">
        <v>0.37</v>
      </c>
      <c r="B6" s="147">
        <v>59.2</v>
      </c>
      <c r="C6" s="147">
        <v>66</v>
      </c>
      <c r="D6" s="147">
        <v>72.7</v>
      </c>
      <c r="E6" s="147">
        <v>77.3</v>
      </c>
      <c r="F6" s="148">
        <v>81.099999999999994</v>
      </c>
      <c r="G6" t="b">
        <f>IF(AND(Anmeldung!$D$25&lt;A7, Anmeldung!$D$25&gt;=A6),TRUE)</f>
        <v>0</v>
      </c>
      <c r="H6">
        <f>IF(Anmeldung!$I$25=Ersatz_Motor!$B$1,B6,IF(Anmeldung!$I$25=Ersatz_Motor!$C$1,C6,IF(Anmeldung!$I$25=Ersatz_Motor!$D$1,D6,IF(Anmeldung!$I$25=Ersatz_Motor!$E$1,E6,IF(Anmeldung!$I$25=Ersatz_Motor!$F$1,F6,0)))))</f>
        <v>0</v>
      </c>
      <c r="I6">
        <f>IF(Anmeldung!$I$26=Ersatz_Motor!$B$1,B6,IF(Anmeldung!$I$26=Ersatz_Motor!$C$1,C6,IF(Anmeldung!$I$26=Ersatz_Motor!$D$1,D6,IF(Anmeldung!$I$26=Ersatz_Motor!$E$1,E6,IF(Anmeldung!$I$26=Ersatz_Motor!$F$1,F6,0)))))</f>
        <v>0</v>
      </c>
      <c r="J6" s="248"/>
      <c r="K6" t="b">
        <f>IF(AND('Ersetzen Motoren'!$D$5&lt;A7, 'Ersetzen Motoren'!$D$5&gt;=A6),TRUE)</f>
        <v>0</v>
      </c>
      <c r="L6">
        <f>IF('Ersetzen Motoren'!$E$5=Ersatz_Motor!$B$1,B6,IF('Ersetzen Motoren'!$E$5=Ersatz_Motor!$C$1,C6,IF('Ersetzen Motoren'!$E$5=Ersatz_Motor!$D$1,D6,IF('Ersetzen Motoren'!$E$5=Ersatz_Motor!$E$1,E6,IF('Ersetzen Motoren'!$E$5=Ersatz_Motor!$F$1,F6,0)))))</f>
        <v>0</v>
      </c>
      <c r="M6" t="b">
        <f>IF(AND('Ersetzen Motoren'!$H$5&lt;A7, 'Ersetzen Motoren'!$H$5&gt;=A6),TRUE)</f>
        <v>0</v>
      </c>
      <c r="N6" s="249">
        <f>IF('Ersetzen Motoren'!$I$5=Ersatz_Motor!$B$1,B6,IF('Ersetzen Motoren'!$I$5=Ersatz_Motor!$C$1,C6,IF('Ersetzen Motoren'!$I$5=Ersatz_Motor!$D$1,D6,IF('Ersetzen Motoren'!$I$5=Ersatz_Motor!$E$1,E6,IF('Ersetzen Motoren'!$I$5=Ersatz_Motor!$F$1,F6,0)))))</f>
        <v>0</v>
      </c>
      <c r="O6" s="248"/>
      <c r="P6" t="b">
        <f>IF(AND('Ersetzen Motoren'!$D$6&lt;A7, 'Ersetzen Motoren'!$D$6&gt;=A6),TRUE)</f>
        <v>0</v>
      </c>
      <c r="Q6">
        <f>IF('Ersetzen Motoren'!$E$6=Ersatz_Motor!$B$1,B6,IF('Ersetzen Motoren'!$E$6=Ersatz_Motor!$C$1,C6,IF('Ersetzen Motoren'!$E$6=Ersatz_Motor!$D$1,D6,IF('Ersetzen Motoren'!$E$6=Ersatz_Motor!$E$1,E6,IF('Ersetzen Motoren'!$E$6=Ersatz_Motor!$F$1,F6,0)))))</f>
        <v>0</v>
      </c>
      <c r="R6" t="b">
        <f>IF(AND('Ersetzen Motoren'!$H$6&lt;A7, 'Ersetzen Motoren'!$H$6&gt;=A6),TRUE)</f>
        <v>0</v>
      </c>
      <c r="S6" s="249">
        <f>IF('Ersetzen Motoren'!$I$6=Ersatz_Motor!$B$1,B6,IF('Ersetzen Motoren'!$I$6=Ersatz_Motor!$C$1,C6,IF('Ersetzen Motoren'!$I$6=Ersatz_Motor!$D$1,D6,IF('Ersetzen Motoren'!$I$6=Ersatz_Motor!$E$1,E6,IF('Ersetzen Motoren'!$I$6=Ersatz_Motor!$F$1,F6,0)))))</f>
        <v>0</v>
      </c>
      <c r="T6" s="248"/>
      <c r="U6" t="b">
        <f>IF(AND('Ersetzen Motoren'!$D$7&lt;A7, 'Ersetzen Motoren'!$D$7&gt;=A6),TRUE)</f>
        <v>0</v>
      </c>
      <c r="V6">
        <f>IF('Ersetzen Motoren'!$E$7=Ersatz_Motor!$B$1,B6,IF('Ersetzen Motoren'!$E$7=Ersatz_Motor!$C$1,C6,IF('Ersetzen Motoren'!$E$7=Ersatz_Motor!$D$1,D6,IF('Ersetzen Motoren'!$E$7=Ersatz_Motor!$E$1,E6,IF('Ersetzen Motoren'!$E$7=Ersatz_Motor!$F$1,F6,0)))))</f>
        <v>0</v>
      </c>
      <c r="W6" t="b">
        <f>IF(AND('Ersetzen Motoren'!$H$7&lt;A7, 'Ersetzen Motoren'!$H$7&gt;=A6),TRUE)</f>
        <v>0</v>
      </c>
      <c r="X6" s="249">
        <f>IF('Ersetzen Motoren'!$I$7=Ersatz_Motor!$B$1,B6,IF('Ersetzen Motoren'!$I$7=Ersatz_Motor!$C$1,C6,IF('Ersetzen Motoren'!$I$7=Ersatz_Motor!$D$1,D6,IF('Ersetzen Motoren'!$I$7=Ersatz_Motor!$E$1,E6,IF('Ersetzen Motoren'!$I$7=Ersatz_Motor!$F$1,F6,0)))))</f>
        <v>0</v>
      </c>
      <c r="Y6" s="248"/>
      <c r="Z6" t="b">
        <f>IF(AND('Ersetzen Motoren'!$D$8&lt;A7, 'Ersetzen Motoren'!$D$8&gt;=A6),TRUE)</f>
        <v>0</v>
      </c>
      <c r="AA6">
        <f>IF('Ersetzen Motoren'!$E$8=Ersatz_Motor!$B$1,B6,IF('Ersetzen Motoren'!$E$8=Ersatz_Motor!$C$1,C6,IF('Ersetzen Motoren'!$E$8=Ersatz_Motor!$D$1,D6,IF('Ersetzen Motoren'!$E$8=Ersatz_Motor!$E$1,E6,IF('Ersetzen Motoren'!$E$8=Ersatz_Motor!$F$1,F6,0)))))</f>
        <v>0</v>
      </c>
      <c r="AB6" t="b">
        <f>IF(AND('Ersetzen Motoren'!$H$8&lt;A7, 'Ersetzen Motoren'!$H$8&gt;=A6),TRUE)</f>
        <v>0</v>
      </c>
      <c r="AC6" s="249">
        <f>IF('Ersetzen Motoren'!$I$8=Ersatz_Motor!$B$1,B6,IF('Ersetzen Motoren'!$I$8=Ersatz_Motor!$C$1,C6,IF('Ersetzen Motoren'!$I$8=Ersatz_Motor!$D$1,D6,IF('Ersetzen Motoren'!$I$8=Ersatz_Motor!$E$1,E6,IF('Ersetzen Motoren'!$I$8=Ersatz_Motor!$F$1,F6,0)))))</f>
        <v>0</v>
      </c>
      <c r="AD6" s="248"/>
      <c r="AE6" t="b">
        <f>IF(AND('Ersetzen Motoren'!$D$9&lt;A7, 'Ersetzen Motoren'!$D$9&gt;=A6),TRUE)</f>
        <v>0</v>
      </c>
      <c r="AF6">
        <f>IF('Ersetzen Motoren'!$E$9=Ersatz_Motor!$B$1,B6,IF('Ersetzen Motoren'!$E$9=Ersatz_Motor!$C$1,C6,IF('Ersetzen Motoren'!$E$9=Ersatz_Motor!$D$1,D6,IF('Ersetzen Motoren'!$E$9=Ersatz_Motor!$E$1,E6,IF('Ersetzen Motoren'!$E$9=Ersatz_Motor!$F$1,F6,0)))))</f>
        <v>0</v>
      </c>
      <c r="AG6" t="b">
        <f>IF(AND('Ersetzen Motoren'!$H$9&lt;A7, 'Ersetzen Motoren'!$H$9&gt;=A6),TRUE)</f>
        <v>0</v>
      </c>
      <c r="AH6" s="249">
        <f>IF('Ersetzen Motoren'!$I$9=Ersatz_Motor!$B$1,B6,IF('Ersetzen Motoren'!$I$9=Ersatz_Motor!$C$1,C6,IF('Ersetzen Motoren'!$I$9=Ersatz_Motor!$D$1,D6,IF('Ersetzen Motoren'!$I$9=Ersatz_Motor!$E$1,E6,IF('Ersetzen Motoren'!$I$9=Ersatz_Motor!$F$1,F6,0)))))</f>
        <v>0</v>
      </c>
    </row>
    <row r="7" spans="1:34">
      <c r="A7" s="144">
        <v>0.4</v>
      </c>
      <c r="B7" s="147">
        <v>60.2</v>
      </c>
      <c r="C7" s="147">
        <v>66.8</v>
      </c>
      <c r="D7" s="147">
        <v>73.5</v>
      </c>
      <c r="E7" s="147">
        <v>78</v>
      </c>
      <c r="F7" s="148">
        <v>81.7</v>
      </c>
      <c r="G7" t="b">
        <f>IF(AND(Anmeldung!$D$25&lt;A8, Anmeldung!$D$25&gt;=A7),TRUE)</f>
        <v>0</v>
      </c>
      <c r="H7">
        <f>IF(Anmeldung!$I$25=Ersatz_Motor!$B$1,B7,IF(Anmeldung!$I$25=Ersatz_Motor!$C$1,C7,IF(Anmeldung!$I$25=Ersatz_Motor!$D$1,D7,IF(Anmeldung!$I$25=Ersatz_Motor!$E$1,E7,IF(Anmeldung!$I$25=Ersatz_Motor!$F$1,F7,0)))))</f>
        <v>0</v>
      </c>
      <c r="I7">
        <f>IF(Anmeldung!$I$26=Ersatz_Motor!$B$1,B7,IF(Anmeldung!$I$26=Ersatz_Motor!$C$1,C7,IF(Anmeldung!$I$26=Ersatz_Motor!$D$1,D7,IF(Anmeldung!$I$26=Ersatz_Motor!$E$1,E7,IF(Anmeldung!$I$26=Ersatz_Motor!$F$1,F7,0)))))</f>
        <v>0</v>
      </c>
      <c r="J7" s="248"/>
      <c r="K7" t="b">
        <f>IF(AND('Ersetzen Motoren'!$D$5&lt;A8, 'Ersetzen Motoren'!$D$5&gt;=A7),TRUE)</f>
        <v>0</v>
      </c>
      <c r="L7">
        <f>IF('Ersetzen Motoren'!$E$5=Ersatz_Motor!$B$1,B7,IF('Ersetzen Motoren'!$E$5=Ersatz_Motor!$C$1,C7,IF('Ersetzen Motoren'!$E$5=Ersatz_Motor!$D$1,D7,IF('Ersetzen Motoren'!$E$5=Ersatz_Motor!$E$1,E7,IF('Ersetzen Motoren'!$E$5=Ersatz_Motor!$F$1,F7,0)))))</f>
        <v>0</v>
      </c>
      <c r="M7" t="b">
        <f>IF(AND('Ersetzen Motoren'!$H$5&lt;A8, 'Ersetzen Motoren'!$H$5&gt;=A7),TRUE)</f>
        <v>0</v>
      </c>
      <c r="N7" s="249">
        <f>IF('Ersetzen Motoren'!$I$5=Ersatz_Motor!$B$1,B7,IF('Ersetzen Motoren'!$I$5=Ersatz_Motor!$C$1,C7,IF('Ersetzen Motoren'!$I$5=Ersatz_Motor!$D$1,D7,IF('Ersetzen Motoren'!$I$5=Ersatz_Motor!$E$1,E7,IF('Ersetzen Motoren'!$I$5=Ersatz_Motor!$F$1,F7,0)))))</f>
        <v>0</v>
      </c>
      <c r="O7" s="248"/>
      <c r="P7" t="b">
        <f>IF(AND('Ersetzen Motoren'!$D$6&lt;A8, 'Ersetzen Motoren'!$D$6&gt;=A7),TRUE)</f>
        <v>0</v>
      </c>
      <c r="Q7">
        <f>IF('Ersetzen Motoren'!$E$6=Ersatz_Motor!$B$1,B7,IF('Ersetzen Motoren'!$E$6=Ersatz_Motor!$C$1,C7,IF('Ersetzen Motoren'!$E$6=Ersatz_Motor!$D$1,D7,IF('Ersetzen Motoren'!$E$6=Ersatz_Motor!$E$1,E7,IF('Ersetzen Motoren'!$E$6=Ersatz_Motor!$F$1,F7,0)))))</f>
        <v>0</v>
      </c>
      <c r="R7" t="b">
        <f>IF(AND('Ersetzen Motoren'!$H$6&lt;A8, 'Ersetzen Motoren'!$H$6&gt;=A7),TRUE)</f>
        <v>0</v>
      </c>
      <c r="S7" s="249">
        <f>IF('Ersetzen Motoren'!$I$6=Ersatz_Motor!$B$1,B7,IF('Ersetzen Motoren'!$I$6=Ersatz_Motor!$C$1,C7,IF('Ersetzen Motoren'!$I$6=Ersatz_Motor!$D$1,D7,IF('Ersetzen Motoren'!$I$6=Ersatz_Motor!$E$1,E7,IF('Ersetzen Motoren'!$I$6=Ersatz_Motor!$F$1,F7,0)))))</f>
        <v>0</v>
      </c>
      <c r="T7" s="248"/>
      <c r="U7" t="b">
        <f>IF(AND('Ersetzen Motoren'!$D$7&lt;A8, 'Ersetzen Motoren'!$D$7&gt;=A7),TRUE)</f>
        <v>0</v>
      </c>
      <c r="V7">
        <f>IF('Ersetzen Motoren'!$E$7=Ersatz_Motor!$B$1,B7,IF('Ersetzen Motoren'!$E$7=Ersatz_Motor!$C$1,C7,IF('Ersetzen Motoren'!$E$7=Ersatz_Motor!$D$1,D7,IF('Ersetzen Motoren'!$E$7=Ersatz_Motor!$E$1,E7,IF('Ersetzen Motoren'!$E$7=Ersatz_Motor!$F$1,F7,0)))))</f>
        <v>0</v>
      </c>
      <c r="W7" t="b">
        <f>IF(AND('Ersetzen Motoren'!$H$7&lt;A8, 'Ersetzen Motoren'!$H$7&gt;=A7),TRUE)</f>
        <v>0</v>
      </c>
      <c r="X7" s="249">
        <f>IF('Ersetzen Motoren'!$I$7=Ersatz_Motor!$B$1,B7,IF('Ersetzen Motoren'!$I$7=Ersatz_Motor!$C$1,C7,IF('Ersetzen Motoren'!$I$7=Ersatz_Motor!$D$1,D7,IF('Ersetzen Motoren'!$I$7=Ersatz_Motor!$E$1,E7,IF('Ersetzen Motoren'!$I$7=Ersatz_Motor!$F$1,F7,0)))))</f>
        <v>0</v>
      </c>
      <c r="Y7" s="248"/>
      <c r="Z7" t="b">
        <f>IF(AND('Ersetzen Motoren'!$D$8&lt;A8, 'Ersetzen Motoren'!$D$8&gt;=A7),TRUE)</f>
        <v>0</v>
      </c>
      <c r="AA7">
        <f>IF('Ersetzen Motoren'!$E$8=Ersatz_Motor!$B$1,B7,IF('Ersetzen Motoren'!$E$8=Ersatz_Motor!$C$1,C7,IF('Ersetzen Motoren'!$E$8=Ersatz_Motor!$D$1,D7,IF('Ersetzen Motoren'!$E$8=Ersatz_Motor!$E$1,E7,IF('Ersetzen Motoren'!$E$8=Ersatz_Motor!$F$1,F7,0)))))</f>
        <v>0</v>
      </c>
      <c r="AB7" t="b">
        <f>IF(AND('Ersetzen Motoren'!$H$8&lt;A8, 'Ersetzen Motoren'!$H$8&gt;=A7),TRUE)</f>
        <v>0</v>
      </c>
      <c r="AC7" s="249">
        <f>IF('Ersetzen Motoren'!$I$8=Ersatz_Motor!$B$1,B7,IF('Ersetzen Motoren'!$I$8=Ersatz_Motor!$C$1,C7,IF('Ersetzen Motoren'!$I$8=Ersatz_Motor!$D$1,D7,IF('Ersetzen Motoren'!$I$8=Ersatz_Motor!$E$1,E7,IF('Ersetzen Motoren'!$I$8=Ersatz_Motor!$F$1,F7,0)))))</f>
        <v>0</v>
      </c>
      <c r="AD7" s="248"/>
      <c r="AE7" t="b">
        <f>IF(AND('Ersetzen Motoren'!$D$9&lt;A8, 'Ersetzen Motoren'!$D$9&gt;=A7),TRUE)</f>
        <v>0</v>
      </c>
      <c r="AF7">
        <f>IF('Ersetzen Motoren'!$E$9=Ersatz_Motor!$B$1,B7,IF('Ersetzen Motoren'!$E$9=Ersatz_Motor!$C$1,C7,IF('Ersetzen Motoren'!$E$9=Ersatz_Motor!$D$1,D7,IF('Ersetzen Motoren'!$E$9=Ersatz_Motor!$E$1,E7,IF('Ersetzen Motoren'!$E$9=Ersatz_Motor!$F$1,F7,0)))))</f>
        <v>0</v>
      </c>
      <c r="AG7" t="b">
        <f>IF(AND('Ersetzen Motoren'!$H$9&lt;A8, 'Ersetzen Motoren'!$H$9&gt;=A7),TRUE)</f>
        <v>0</v>
      </c>
      <c r="AH7" s="249">
        <f>IF('Ersetzen Motoren'!$I$9=Ersatz_Motor!$B$1,B7,IF('Ersetzen Motoren'!$I$9=Ersatz_Motor!$C$1,C7,IF('Ersetzen Motoren'!$I$9=Ersatz_Motor!$D$1,D7,IF('Ersetzen Motoren'!$I$9=Ersatz_Motor!$E$1,E7,IF('Ersetzen Motoren'!$I$9=Ersatz_Motor!$F$1,F7,0)))))</f>
        <v>0</v>
      </c>
    </row>
    <row r="8" spans="1:34">
      <c r="A8" s="144">
        <v>0.55000000000000004</v>
      </c>
      <c r="B8" s="147">
        <v>64</v>
      </c>
      <c r="C8" s="147">
        <v>70</v>
      </c>
      <c r="D8" s="147">
        <v>77.099999999999994</v>
      </c>
      <c r="E8" s="147">
        <v>80.8</v>
      </c>
      <c r="F8" s="148">
        <v>83.9</v>
      </c>
      <c r="G8" t="b">
        <f>IF(AND(Anmeldung!$D$25&lt;A9, Anmeldung!$D$25&gt;=A8),TRUE)</f>
        <v>0</v>
      </c>
      <c r="H8">
        <f>IF(Anmeldung!$I$25=Ersatz_Motor!$B$1,B8,IF(Anmeldung!$I$25=Ersatz_Motor!$C$1,C8,IF(Anmeldung!$I$25=Ersatz_Motor!$D$1,D8,IF(Anmeldung!$I$25=Ersatz_Motor!$E$1,E8,IF(Anmeldung!$I$25=Ersatz_Motor!$F$1,F8,0)))))</f>
        <v>0</v>
      </c>
      <c r="I8">
        <f>IF(Anmeldung!$I$26=Ersatz_Motor!$B$1,B8,IF(Anmeldung!$I$26=Ersatz_Motor!$C$1,C8,IF(Anmeldung!$I$26=Ersatz_Motor!$D$1,D8,IF(Anmeldung!$I$26=Ersatz_Motor!$E$1,E8,IF(Anmeldung!$I$26=Ersatz_Motor!$F$1,F8,0)))))</f>
        <v>0</v>
      </c>
      <c r="J8" s="248"/>
      <c r="K8" t="b">
        <f>IF(AND('Ersetzen Motoren'!$D$5&lt;A9, 'Ersetzen Motoren'!$D$5&gt;=A8),TRUE)</f>
        <v>0</v>
      </c>
      <c r="L8">
        <f>IF('Ersetzen Motoren'!$E$5=Ersatz_Motor!$B$1,B8,IF('Ersetzen Motoren'!$E$5=Ersatz_Motor!$C$1,C8,IF('Ersetzen Motoren'!$E$5=Ersatz_Motor!$D$1,D8,IF('Ersetzen Motoren'!$E$5=Ersatz_Motor!$E$1,E8,IF('Ersetzen Motoren'!$E$5=Ersatz_Motor!$F$1,F8,0)))))</f>
        <v>0</v>
      </c>
      <c r="M8" t="b">
        <f>IF(AND('Ersetzen Motoren'!$H$5&lt;A9, 'Ersetzen Motoren'!$H$5&gt;=A8),TRUE)</f>
        <v>0</v>
      </c>
      <c r="N8" s="249">
        <f>IF('Ersetzen Motoren'!$I$5=Ersatz_Motor!$B$1,B8,IF('Ersetzen Motoren'!$I$5=Ersatz_Motor!$C$1,C8,IF('Ersetzen Motoren'!$I$5=Ersatz_Motor!$D$1,D8,IF('Ersetzen Motoren'!$I$5=Ersatz_Motor!$E$1,E8,IF('Ersetzen Motoren'!$I$5=Ersatz_Motor!$F$1,F8,0)))))</f>
        <v>0</v>
      </c>
      <c r="O8" s="248"/>
      <c r="P8" t="b">
        <f>IF(AND('Ersetzen Motoren'!$D$6&lt;A9, 'Ersetzen Motoren'!$D$6&gt;=A8),TRUE)</f>
        <v>0</v>
      </c>
      <c r="Q8">
        <f>IF('Ersetzen Motoren'!$E$6=Ersatz_Motor!$B$1,B8,IF('Ersetzen Motoren'!$E$6=Ersatz_Motor!$C$1,C8,IF('Ersetzen Motoren'!$E$6=Ersatz_Motor!$D$1,D8,IF('Ersetzen Motoren'!$E$6=Ersatz_Motor!$E$1,E8,IF('Ersetzen Motoren'!$E$6=Ersatz_Motor!$F$1,F8,0)))))</f>
        <v>0</v>
      </c>
      <c r="R8" t="b">
        <f>IF(AND('Ersetzen Motoren'!$H$6&lt;A9, 'Ersetzen Motoren'!$H$6&gt;=A8),TRUE)</f>
        <v>0</v>
      </c>
      <c r="S8" s="249">
        <f>IF('Ersetzen Motoren'!$I$6=Ersatz_Motor!$B$1,B8,IF('Ersetzen Motoren'!$I$6=Ersatz_Motor!$C$1,C8,IF('Ersetzen Motoren'!$I$6=Ersatz_Motor!$D$1,D8,IF('Ersetzen Motoren'!$I$6=Ersatz_Motor!$E$1,E8,IF('Ersetzen Motoren'!$I$6=Ersatz_Motor!$F$1,F8,0)))))</f>
        <v>0</v>
      </c>
      <c r="T8" s="248"/>
      <c r="U8" t="b">
        <f>IF(AND('Ersetzen Motoren'!$D$7&lt;A9, 'Ersetzen Motoren'!$D$7&gt;=A8),TRUE)</f>
        <v>0</v>
      </c>
      <c r="V8">
        <f>IF('Ersetzen Motoren'!$E$7=Ersatz_Motor!$B$1,B8,IF('Ersetzen Motoren'!$E$7=Ersatz_Motor!$C$1,C8,IF('Ersetzen Motoren'!$E$7=Ersatz_Motor!$D$1,D8,IF('Ersetzen Motoren'!$E$7=Ersatz_Motor!$E$1,E8,IF('Ersetzen Motoren'!$E$7=Ersatz_Motor!$F$1,F8,0)))))</f>
        <v>0</v>
      </c>
      <c r="W8" t="b">
        <f>IF(AND('Ersetzen Motoren'!$H$7&lt;A9, 'Ersetzen Motoren'!$H$7&gt;=A8),TRUE)</f>
        <v>0</v>
      </c>
      <c r="X8" s="249">
        <f>IF('Ersetzen Motoren'!$I$7=Ersatz_Motor!$B$1,B8,IF('Ersetzen Motoren'!$I$7=Ersatz_Motor!$C$1,C8,IF('Ersetzen Motoren'!$I$7=Ersatz_Motor!$D$1,D8,IF('Ersetzen Motoren'!$I$7=Ersatz_Motor!$E$1,E8,IF('Ersetzen Motoren'!$I$7=Ersatz_Motor!$F$1,F8,0)))))</f>
        <v>0</v>
      </c>
      <c r="Y8" s="248"/>
      <c r="Z8" t="b">
        <f>IF(AND('Ersetzen Motoren'!$D$8&lt;A9, 'Ersetzen Motoren'!$D$8&gt;=A8),TRUE)</f>
        <v>0</v>
      </c>
      <c r="AA8">
        <f>IF('Ersetzen Motoren'!$E$8=Ersatz_Motor!$B$1,B8,IF('Ersetzen Motoren'!$E$8=Ersatz_Motor!$C$1,C8,IF('Ersetzen Motoren'!$E$8=Ersatz_Motor!$D$1,D8,IF('Ersetzen Motoren'!$E$8=Ersatz_Motor!$E$1,E8,IF('Ersetzen Motoren'!$E$8=Ersatz_Motor!$F$1,F8,0)))))</f>
        <v>0</v>
      </c>
      <c r="AB8" t="b">
        <f>IF(AND('Ersetzen Motoren'!$H$8&lt;A9, 'Ersetzen Motoren'!$H$8&gt;=A8),TRUE)</f>
        <v>0</v>
      </c>
      <c r="AC8" s="249">
        <f>IF('Ersetzen Motoren'!$I$8=Ersatz_Motor!$B$1,B8,IF('Ersetzen Motoren'!$I$8=Ersatz_Motor!$C$1,C8,IF('Ersetzen Motoren'!$I$8=Ersatz_Motor!$D$1,D8,IF('Ersetzen Motoren'!$I$8=Ersatz_Motor!$E$1,E8,IF('Ersetzen Motoren'!$I$8=Ersatz_Motor!$F$1,F8,0)))))</f>
        <v>0</v>
      </c>
      <c r="AD8" s="248"/>
      <c r="AE8" t="b">
        <f>IF(AND('Ersetzen Motoren'!$D$9&lt;A9, 'Ersetzen Motoren'!$D$9&gt;=A8),TRUE)</f>
        <v>0</v>
      </c>
      <c r="AF8">
        <f>IF('Ersetzen Motoren'!$E$9=Ersatz_Motor!$B$1,B8,IF('Ersetzen Motoren'!$E$9=Ersatz_Motor!$C$1,C8,IF('Ersetzen Motoren'!$E$9=Ersatz_Motor!$D$1,D8,IF('Ersetzen Motoren'!$E$9=Ersatz_Motor!$E$1,E8,IF('Ersetzen Motoren'!$E$9=Ersatz_Motor!$F$1,F8,0)))))</f>
        <v>0</v>
      </c>
      <c r="AG8" t="b">
        <f>IF(AND('Ersetzen Motoren'!$H$9&lt;A9, 'Ersetzen Motoren'!$H$9&gt;=A8),TRUE)</f>
        <v>0</v>
      </c>
      <c r="AH8" s="249">
        <f>IF('Ersetzen Motoren'!$I$9=Ersatz_Motor!$B$1,B8,IF('Ersetzen Motoren'!$I$9=Ersatz_Motor!$C$1,C8,IF('Ersetzen Motoren'!$I$9=Ersatz_Motor!$D$1,D8,IF('Ersetzen Motoren'!$I$9=Ersatz_Motor!$E$1,E8,IF('Ersetzen Motoren'!$I$9=Ersatz_Motor!$F$1,F8,0)))))</f>
        <v>0</v>
      </c>
    </row>
    <row r="9" spans="1:34">
      <c r="A9" s="144">
        <v>0.75</v>
      </c>
      <c r="B9" s="147">
        <v>66.5</v>
      </c>
      <c r="C9" s="147">
        <v>72.099999999999994</v>
      </c>
      <c r="D9" s="147">
        <v>79.599999999999994</v>
      </c>
      <c r="E9" s="147">
        <v>82.5</v>
      </c>
      <c r="F9" s="148">
        <v>85.7</v>
      </c>
      <c r="G9" t="b">
        <f>IF(AND(Anmeldung!$D$25&lt;A10, Anmeldung!$D$25&gt;=A9),TRUE)</f>
        <v>0</v>
      </c>
      <c r="H9">
        <f>IF(Anmeldung!$I$25=Ersatz_Motor!$B$1,B9,IF(Anmeldung!$I$25=Ersatz_Motor!$C$1,C9,IF(Anmeldung!$I$25=Ersatz_Motor!$D$1,D9,IF(Anmeldung!$I$25=Ersatz_Motor!$E$1,E9,IF(Anmeldung!$I$25=Ersatz_Motor!$F$1,F9,0)))))</f>
        <v>0</v>
      </c>
      <c r="I9">
        <f>IF(Anmeldung!$I$26=Ersatz_Motor!$B$1,B9,IF(Anmeldung!$I$26=Ersatz_Motor!$C$1,C9,IF(Anmeldung!$I$26=Ersatz_Motor!$D$1,D9,IF(Anmeldung!$I$26=Ersatz_Motor!$E$1,E9,IF(Anmeldung!$I$26=Ersatz_Motor!$F$1,F9,0)))))</f>
        <v>0</v>
      </c>
      <c r="J9" s="248"/>
      <c r="K9" t="b">
        <f>IF(AND('Ersetzen Motoren'!$D$5&lt;A10, 'Ersetzen Motoren'!$D$5&gt;=A9),TRUE)</f>
        <v>0</v>
      </c>
      <c r="L9">
        <f>IF('Ersetzen Motoren'!$E$5=Ersatz_Motor!$B$1,B9,IF('Ersetzen Motoren'!$E$5=Ersatz_Motor!$C$1,C9,IF('Ersetzen Motoren'!$E$5=Ersatz_Motor!$D$1,D9,IF('Ersetzen Motoren'!$E$5=Ersatz_Motor!$E$1,E9,IF('Ersetzen Motoren'!$E$5=Ersatz_Motor!$F$1,F9,0)))))</f>
        <v>0</v>
      </c>
      <c r="M9" t="b">
        <f>IF(AND('Ersetzen Motoren'!$H$5&lt;A10, 'Ersetzen Motoren'!$H$5&gt;=A9),TRUE)</f>
        <v>0</v>
      </c>
      <c r="N9" s="249">
        <f>IF('Ersetzen Motoren'!$I$5=Ersatz_Motor!$B$1,B9,IF('Ersetzen Motoren'!$I$5=Ersatz_Motor!$C$1,C9,IF('Ersetzen Motoren'!$I$5=Ersatz_Motor!$D$1,D9,IF('Ersetzen Motoren'!$I$5=Ersatz_Motor!$E$1,E9,IF('Ersetzen Motoren'!$I$5=Ersatz_Motor!$F$1,F9,0)))))</f>
        <v>0</v>
      </c>
      <c r="O9" s="248"/>
      <c r="P9" t="b">
        <f>IF(AND('Ersetzen Motoren'!$D$6&lt;A10, 'Ersetzen Motoren'!$D$6&gt;=A9),TRUE)</f>
        <v>0</v>
      </c>
      <c r="Q9">
        <f>IF('Ersetzen Motoren'!$E$6=Ersatz_Motor!$B$1,B9,IF('Ersetzen Motoren'!$E$6=Ersatz_Motor!$C$1,C9,IF('Ersetzen Motoren'!$E$6=Ersatz_Motor!$D$1,D9,IF('Ersetzen Motoren'!$E$6=Ersatz_Motor!$E$1,E9,IF('Ersetzen Motoren'!$E$6=Ersatz_Motor!$F$1,F9,0)))))</f>
        <v>0</v>
      </c>
      <c r="R9" t="b">
        <f>IF(AND('Ersetzen Motoren'!$H$6&lt;A10, 'Ersetzen Motoren'!$H$6&gt;=A9),TRUE)</f>
        <v>0</v>
      </c>
      <c r="S9" s="249">
        <f>IF('Ersetzen Motoren'!$I$6=Ersatz_Motor!$B$1,B9,IF('Ersetzen Motoren'!$I$6=Ersatz_Motor!$C$1,C9,IF('Ersetzen Motoren'!$I$6=Ersatz_Motor!$D$1,D9,IF('Ersetzen Motoren'!$I$6=Ersatz_Motor!$E$1,E9,IF('Ersetzen Motoren'!$I$6=Ersatz_Motor!$F$1,F9,0)))))</f>
        <v>0</v>
      </c>
      <c r="T9" s="248"/>
      <c r="U9" t="b">
        <f>IF(AND('Ersetzen Motoren'!$D$7&lt;A10, 'Ersetzen Motoren'!$D$7&gt;=A9),TRUE)</f>
        <v>0</v>
      </c>
      <c r="V9">
        <f>IF('Ersetzen Motoren'!$E$7=Ersatz_Motor!$B$1,B9,IF('Ersetzen Motoren'!$E$7=Ersatz_Motor!$C$1,C9,IF('Ersetzen Motoren'!$E$7=Ersatz_Motor!$D$1,D9,IF('Ersetzen Motoren'!$E$7=Ersatz_Motor!$E$1,E9,IF('Ersetzen Motoren'!$E$7=Ersatz_Motor!$F$1,F9,0)))))</f>
        <v>0</v>
      </c>
      <c r="W9" t="b">
        <f>IF(AND('Ersetzen Motoren'!$H$7&lt;A10, 'Ersetzen Motoren'!$H$7&gt;=A9),TRUE)</f>
        <v>0</v>
      </c>
      <c r="X9" s="249">
        <f>IF('Ersetzen Motoren'!$I$7=Ersatz_Motor!$B$1,B9,IF('Ersetzen Motoren'!$I$7=Ersatz_Motor!$C$1,C9,IF('Ersetzen Motoren'!$I$7=Ersatz_Motor!$D$1,D9,IF('Ersetzen Motoren'!$I$7=Ersatz_Motor!$E$1,E9,IF('Ersetzen Motoren'!$I$7=Ersatz_Motor!$F$1,F9,0)))))</f>
        <v>0</v>
      </c>
      <c r="Y9" s="248"/>
      <c r="Z9" t="b">
        <f>IF(AND('Ersetzen Motoren'!$D$8&lt;A10, 'Ersetzen Motoren'!$D$8&gt;=A9),TRUE)</f>
        <v>0</v>
      </c>
      <c r="AA9">
        <f>IF('Ersetzen Motoren'!$E$8=Ersatz_Motor!$B$1,B9,IF('Ersetzen Motoren'!$E$8=Ersatz_Motor!$C$1,C9,IF('Ersetzen Motoren'!$E$8=Ersatz_Motor!$D$1,D9,IF('Ersetzen Motoren'!$E$8=Ersatz_Motor!$E$1,E9,IF('Ersetzen Motoren'!$E$8=Ersatz_Motor!$F$1,F9,0)))))</f>
        <v>0</v>
      </c>
      <c r="AB9" t="b">
        <f>IF(AND('Ersetzen Motoren'!$H$8&lt;A10, 'Ersetzen Motoren'!$H$8&gt;=A9),TRUE)</f>
        <v>0</v>
      </c>
      <c r="AC9" s="249">
        <f>IF('Ersetzen Motoren'!$I$8=Ersatz_Motor!$B$1,B9,IF('Ersetzen Motoren'!$I$8=Ersatz_Motor!$C$1,C9,IF('Ersetzen Motoren'!$I$8=Ersatz_Motor!$D$1,D9,IF('Ersetzen Motoren'!$I$8=Ersatz_Motor!$E$1,E9,IF('Ersetzen Motoren'!$I$8=Ersatz_Motor!$F$1,F9,0)))))</f>
        <v>0</v>
      </c>
      <c r="AD9" s="248"/>
      <c r="AE9" t="b">
        <f>IF(AND('Ersetzen Motoren'!$D$9&lt;A10, 'Ersetzen Motoren'!$D$9&gt;=A9),TRUE)</f>
        <v>0</v>
      </c>
      <c r="AF9">
        <f>IF('Ersetzen Motoren'!$E$9=Ersatz_Motor!$B$1,B9,IF('Ersetzen Motoren'!$E$9=Ersatz_Motor!$C$1,C9,IF('Ersetzen Motoren'!$E$9=Ersatz_Motor!$D$1,D9,IF('Ersetzen Motoren'!$E$9=Ersatz_Motor!$E$1,E9,IF('Ersetzen Motoren'!$E$9=Ersatz_Motor!$F$1,F9,0)))))</f>
        <v>0</v>
      </c>
      <c r="AG9" t="b">
        <f>IF(AND('Ersetzen Motoren'!$H$9&lt;A10, 'Ersetzen Motoren'!$H$9&gt;=A9),TRUE)</f>
        <v>0</v>
      </c>
      <c r="AH9" s="249">
        <f>IF('Ersetzen Motoren'!$I$9=Ersatz_Motor!$B$1,B9,IF('Ersetzen Motoren'!$I$9=Ersatz_Motor!$C$1,C9,IF('Ersetzen Motoren'!$I$9=Ersatz_Motor!$D$1,D9,IF('Ersetzen Motoren'!$I$9=Ersatz_Motor!$E$1,E9,IF('Ersetzen Motoren'!$I$9=Ersatz_Motor!$F$1,F9,0)))))</f>
        <v>0</v>
      </c>
    </row>
    <row r="10" spans="1:34">
      <c r="A10" s="144">
        <v>1.1000000000000001</v>
      </c>
      <c r="B10" s="147">
        <v>70</v>
      </c>
      <c r="C10" s="147">
        <v>75</v>
      </c>
      <c r="D10" s="147">
        <v>81.400000000000006</v>
      </c>
      <c r="E10" s="147">
        <v>84.1</v>
      </c>
      <c r="F10" s="148">
        <v>87.2</v>
      </c>
      <c r="G10" t="b">
        <f>IF(AND(Anmeldung!$D$25&lt;A11, Anmeldung!$D$25&gt;=A10),TRUE)</f>
        <v>0</v>
      </c>
      <c r="H10">
        <f>IF(Anmeldung!$I$25=Ersatz_Motor!$B$1,B10,IF(Anmeldung!$I$25=Ersatz_Motor!$C$1,C10,IF(Anmeldung!$I$25=Ersatz_Motor!$D$1,D10,IF(Anmeldung!$I$25=Ersatz_Motor!$E$1,E10,IF(Anmeldung!$I$25=Ersatz_Motor!$F$1,F10,0)))))</f>
        <v>0</v>
      </c>
      <c r="I10">
        <f>IF(Anmeldung!$I$26=Ersatz_Motor!$B$1,B10,IF(Anmeldung!$I$26=Ersatz_Motor!$C$1,C10,IF(Anmeldung!$I$26=Ersatz_Motor!$D$1,D10,IF(Anmeldung!$I$26=Ersatz_Motor!$E$1,E10,IF(Anmeldung!$I$26=Ersatz_Motor!$F$1,F10,0)))))</f>
        <v>0</v>
      </c>
      <c r="J10" s="248"/>
      <c r="K10" t="b">
        <f>IF(AND('Ersetzen Motoren'!$D$5&lt;A11, 'Ersetzen Motoren'!$D$5&gt;=A10),TRUE)</f>
        <v>0</v>
      </c>
      <c r="L10">
        <f>IF('Ersetzen Motoren'!$E$5=Ersatz_Motor!$B$1,B10,IF('Ersetzen Motoren'!$E$5=Ersatz_Motor!$C$1,C10,IF('Ersetzen Motoren'!$E$5=Ersatz_Motor!$D$1,D10,IF('Ersetzen Motoren'!$E$5=Ersatz_Motor!$E$1,E10,IF('Ersetzen Motoren'!$E$5=Ersatz_Motor!$F$1,F10,0)))))</f>
        <v>0</v>
      </c>
      <c r="M10" t="b">
        <f>IF(AND('Ersetzen Motoren'!$H$5&lt;A11, 'Ersetzen Motoren'!$H$5&gt;=A10),TRUE)</f>
        <v>0</v>
      </c>
      <c r="N10" s="249">
        <f>IF('Ersetzen Motoren'!$I$5=Ersatz_Motor!$B$1,B10,IF('Ersetzen Motoren'!$I$5=Ersatz_Motor!$C$1,C10,IF('Ersetzen Motoren'!$I$5=Ersatz_Motor!$D$1,D10,IF('Ersetzen Motoren'!$I$5=Ersatz_Motor!$E$1,E10,IF('Ersetzen Motoren'!$I$5=Ersatz_Motor!$F$1,F10,0)))))</f>
        <v>0</v>
      </c>
      <c r="O10" s="248"/>
      <c r="P10" t="b">
        <f>IF(AND('Ersetzen Motoren'!$D$6&lt;A11, 'Ersetzen Motoren'!$D$6&gt;=A10),TRUE)</f>
        <v>0</v>
      </c>
      <c r="Q10">
        <f>IF('Ersetzen Motoren'!$E$6=Ersatz_Motor!$B$1,B10,IF('Ersetzen Motoren'!$E$6=Ersatz_Motor!$C$1,C10,IF('Ersetzen Motoren'!$E$6=Ersatz_Motor!$D$1,D10,IF('Ersetzen Motoren'!$E$6=Ersatz_Motor!$E$1,E10,IF('Ersetzen Motoren'!$E$6=Ersatz_Motor!$F$1,F10,0)))))</f>
        <v>0</v>
      </c>
      <c r="R10" t="b">
        <f>IF(AND('Ersetzen Motoren'!$H$6&lt;A11, 'Ersetzen Motoren'!$H$6&gt;=A10),TRUE)</f>
        <v>0</v>
      </c>
      <c r="S10" s="249">
        <f>IF('Ersetzen Motoren'!$I$6=Ersatz_Motor!$B$1,B10,IF('Ersetzen Motoren'!$I$6=Ersatz_Motor!$C$1,C10,IF('Ersetzen Motoren'!$I$6=Ersatz_Motor!$D$1,D10,IF('Ersetzen Motoren'!$I$6=Ersatz_Motor!$E$1,E10,IF('Ersetzen Motoren'!$I$6=Ersatz_Motor!$F$1,F10,0)))))</f>
        <v>0</v>
      </c>
      <c r="T10" s="248"/>
      <c r="U10" t="b">
        <f>IF(AND('Ersetzen Motoren'!$D$7&lt;A11, 'Ersetzen Motoren'!$D$7&gt;=A10),TRUE)</f>
        <v>0</v>
      </c>
      <c r="V10">
        <f>IF('Ersetzen Motoren'!$E$7=Ersatz_Motor!$B$1,B10,IF('Ersetzen Motoren'!$E$7=Ersatz_Motor!$C$1,C10,IF('Ersetzen Motoren'!$E$7=Ersatz_Motor!$D$1,D10,IF('Ersetzen Motoren'!$E$7=Ersatz_Motor!$E$1,E10,IF('Ersetzen Motoren'!$E$7=Ersatz_Motor!$F$1,F10,0)))))</f>
        <v>0</v>
      </c>
      <c r="W10" t="b">
        <f>IF(AND('Ersetzen Motoren'!$H$7&lt;A11, 'Ersetzen Motoren'!$H$7&gt;=A10),TRUE)</f>
        <v>0</v>
      </c>
      <c r="X10" s="249">
        <f>IF('Ersetzen Motoren'!$I$7=Ersatz_Motor!$B$1,B10,IF('Ersetzen Motoren'!$I$7=Ersatz_Motor!$C$1,C10,IF('Ersetzen Motoren'!$I$7=Ersatz_Motor!$D$1,D10,IF('Ersetzen Motoren'!$I$7=Ersatz_Motor!$E$1,E10,IF('Ersetzen Motoren'!$I$7=Ersatz_Motor!$F$1,F10,0)))))</f>
        <v>0</v>
      </c>
      <c r="Y10" s="248"/>
      <c r="Z10" t="b">
        <f>IF(AND('Ersetzen Motoren'!$D$8&lt;A11, 'Ersetzen Motoren'!$D$8&gt;=A10),TRUE)</f>
        <v>0</v>
      </c>
      <c r="AA10">
        <f>IF('Ersetzen Motoren'!$E$8=Ersatz_Motor!$B$1,B10,IF('Ersetzen Motoren'!$E$8=Ersatz_Motor!$C$1,C10,IF('Ersetzen Motoren'!$E$8=Ersatz_Motor!$D$1,D10,IF('Ersetzen Motoren'!$E$8=Ersatz_Motor!$E$1,E10,IF('Ersetzen Motoren'!$E$8=Ersatz_Motor!$F$1,F10,0)))))</f>
        <v>0</v>
      </c>
      <c r="AB10" t="b">
        <f>IF(AND('Ersetzen Motoren'!$H$8&lt;A11, 'Ersetzen Motoren'!$H$8&gt;=A10),TRUE)</f>
        <v>0</v>
      </c>
      <c r="AC10" s="249">
        <f>IF('Ersetzen Motoren'!$I$8=Ersatz_Motor!$B$1,B10,IF('Ersetzen Motoren'!$I$8=Ersatz_Motor!$C$1,C10,IF('Ersetzen Motoren'!$I$8=Ersatz_Motor!$D$1,D10,IF('Ersetzen Motoren'!$I$8=Ersatz_Motor!$E$1,E10,IF('Ersetzen Motoren'!$I$8=Ersatz_Motor!$F$1,F10,0)))))</f>
        <v>0</v>
      </c>
      <c r="AD10" s="248"/>
      <c r="AE10" t="b">
        <f>IF(AND('Ersetzen Motoren'!$D$9&lt;A11, 'Ersetzen Motoren'!$D$9&gt;=A10),TRUE)</f>
        <v>0</v>
      </c>
      <c r="AF10">
        <f>IF('Ersetzen Motoren'!$E$9=Ersatz_Motor!$B$1,B10,IF('Ersetzen Motoren'!$E$9=Ersatz_Motor!$C$1,C10,IF('Ersetzen Motoren'!$E$9=Ersatz_Motor!$D$1,D10,IF('Ersetzen Motoren'!$E$9=Ersatz_Motor!$E$1,E10,IF('Ersetzen Motoren'!$E$9=Ersatz_Motor!$F$1,F10,0)))))</f>
        <v>0</v>
      </c>
      <c r="AG10" t="b">
        <f>IF(AND('Ersetzen Motoren'!$H$9&lt;A11, 'Ersetzen Motoren'!$H$9&gt;=A10),TRUE)</f>
        <v>0</v>
      </c>
      <c r="AH10" s="249">
        <f>IF('Ersetzen Motoren'!$I$9=Ersatz_Motor!$B$1,B10,IF('Ersetzen Motoren'!$I$9=Ersatz_Motor!$C$1,C10,IF('Ersetzen Motoren'!$I$9=Ersatz_Motor!$D$1,D10,IF('Ersetzen Motoren'!$I$9=Ersatz_Motor!$E$1,E10,IF('Ersetzen Motoren'!$I$9=Ersatz_Motor!$F$1,F10,0)))))</f>
        <v>0</v>
      </c>
    </row>
    <row r="11" spans="1:34">
      <c r="A11" s="144">
        <v>1.5</v>
      </c>
      <c r="B11" s="147">
        <v>72.599999999999994</v>
      </c>
      <c r="C11" s="147">
        <v>77.2</v>
      </c>
      <c r="D11" s="147">
        <v>82.8</v>
      </c>
      <c r="E11" s="147">
        <v>85.3</v>
      </c>
      <c r="F11" s="148">
        <v>88.2</v>
      </c>
      <c r="G11" t="b">
        <f>IF(AND(Anmeldung!$D$25&lt;A12, Anmeldung!$D$25&gt;=A11),TRUE)</f>
        <v>0</v>
      </c>
      <c r="H11">
        <f>IF(Anmeldung!$I$25=Ersatz_Motor!$B$1,B11,IF(Anmeldung!$I$25=Ersatz_Motor!$C$1,C11,IF(Anmeldung!$I$25=Ersatz_Motor!$D$1,D11,IF(Anmeldung!$I$25=Ersatz_Motor!$E$1,E11,IF(Anmeldung!$I$25=Ersatz_Motor!$F$1,F11,0)))))</f>
        <v>0</v>
      </c>
      <c r="I11">
        <f>IF(Anmeldung!$I$26=Ersatz_Motor!$B$1,B11,IF(Anmeldung!$I$26=Ersatz_Motor!$C$1,C11,IF(Anmeldung!$I$26=Ersatz_Motor!$D$1,D11,IF(Anmeldung!$I$26=Ersatz_Motor!$E$1,E11,IF(Anmeldung!$I$26=Ersatz_Motor!$F$1,F11,0)))))</f>
        <v>0</v>
      </c>
      <c r="J11" s="248"/>
      <c r="K11" t="b">
        <f>IF(AND('Ersetzen Motoren'!$D$5&lt;A12, 'Ersetzen Motoren'!$D$5&gt;=A11),TRUE)</f>
        <v>0</v>
      </c>
      <c r="L11">
        <f>IF('Ersetzen Motoren'!$E$5=Ersatz_Motor!$B$1,B11,IF('Ersetzen Motoren'!$E$5=Ersatz_Motor!$C$1,C11,IF('Ersetzen Motoren'!$E$5=Ersatz_Motor!$D$1,D11,IF('Ersetzen Motoren'!$E$5=Ersatz_Motor!$E$1,E11,IF('Ersetzen Motoren'!$E$5=Ersatz_Motor!$F$1,F11,0)))))</f>
        <v>0</v>
      </c>
      <c r="M11" t="b">
        <f>IF(AND('Ersetzen Motoren'!$H$5&lt;A12, 'Ersetzen Motoren'!$H$5&gt;=A11),TRUE)</f>
        <v>0</v>
      </c>
      <c r="N11" s="249">
        <f>IF('Ersetzen Motoren'!$I$5=Ersatz_Motor!$B$1,B11,IF('Ersetzen Motoren'!$I$5=Ersatz_Motor!$C$1,C11,IF('Ersetzen Motoren'!$I$5=Ersatz_Motor!$D$1,D11,IF('Ersetzen Motoren'!$I$5=Ersatz_Motor!$E$1,E11,IF('Ersetzen Motoren'!$I$5=Ersatz_Motor!$F$1,F11,0)))))</f>
        <v>0</v>
      </c>
      <c r="O11" s="248"/>
      <c r="P11" t="b">
        <f>IF(AND('Ersetzen Motoren'!$D$6&lt;A12, 'Ersetzen Motoren'!$D$6&gt;=A11),TRUE)</f>
        <v>0</v>
      </c>
      <c r="Q11">
        <f>IF('Ersetzen Motoren'!$E$6=Ersatz_Motor!$B$1,B11,IF('Ersetzen Motoren'!$E$6=Ersatz_Motor!$C$1,C11,IF('Ersetzen Motoren'!$E$6=Ersatz_Motor!$D$1,D11,IF('Ersetzen Motoren'!$E$6=Ersatz_Motor!$E$1,E11,IF('Ersetzen Motoren'!$E$6=Ersatz_Motor!$F$1,F11,0)))))</f>
        <v>0</v>
      </c>
      <c r="R11" t="b">
        <f>IF(AND('Ersetzen Motoren'!$H$6&lt;A12, 'Ersetzen Motoren'!$H$6&gt;=A11),TRUE)</f>
        <v>0</v>
      </c>
      <c r="S11" s="249">
        <f>IF('Ersetzen Motoren'!$I$6=Ersatz_Motor!$B$1,B11,IF('Ersetzen Motoren'!$I$6=Ersatz_Motor!$C$1,C11,IF('Ersetzen Motoren'!$I$6=Ersatz_Motor!$D$1,D11,IF('Ersetzen Motoren'!$I$6=Ersatz_Motor!$E$1,E11,IF('Ersetzen Motoren'!$I$6=Ersatz_Motor!$F$1,F11,0)))))</f>
        <v>0</v>
      </c>
      <c r="T11" s="248"/>
      <c r="U11" t="b">
        <f>IF(AND('Ersetzen Motoren'!$D$7&lt;A12, 'Ersetzen Motoren'!$D$7&gt;=A11),TRUE)</f>
        <v>0</v>
      </c>
      <c r="V11">
        <f>IF('Ersetzen Motoren'!$E$7=Ersatz_Motor!$B$1,B11,IF('Ersetzen Motoren'!$E$7=Ersatz_Motor!$C$1,C11,IF('Ersetzen Motoren'!$E$7=Ersatz_Motor!$D$1,D11,IF('Ersetzen Motoren'!$E$7=Ersatz_Motor!$E$1,E11,IF('Ersetzen Motoren'!$E$7=Ersatz_Motor!$F$1,F11,0)))))</f>
        <v>0</v>
      </c>
      <c r="W11" t="b">
        <f>IF(AND('Ersetzen Motoren'!$H$7&lt;A12, 'Ersetzen Motoren'!$H$7&gt;=A11),TRUE)</f>
        <v>0</v>
      </c>
      <c r="X11" s="249">
        <f>IF('Ersetzen Motoren'!$I$7=Ersatz_Motor!$B$1,B11,IF('Ersetzen Motoren'!$I$7=Ersatz_Motor!$C$1,C11,IF('Ersetzen Motoren'!$I$7=Ersatz_Motor!$D$1,D11,IF('Ersetzen Motoren'!$I$7=Ersatz_Motor!$E$1,E11,IF('Ersetzen Motoren'!$I$7=Ersatz_Motor!$F$1,F11,0)))))</f>
        <v>0</v>
      </c>
      <c r="Y11" s="248"/>
      <c r="Z11" t="b">
        <f>IF(AND('Ersetzen Motoren'!$D$8&lt;A12, 'Ersetzen Motoren'!$D$8&gt;=A11),TRUE)</f>
        <v>0</v>
      </c>
      <c r="AA11">
        <f>IF('Ersetzen Motoren'!$E$8=Ersatz_Motor!$B$1,B11,IF('Ersetzen Motoren'!$E$8=Ersatz_Motor!$C$1,C11,IF('Ersetzen Motoren'!$E$8=Ersatz_Motor!$D$1,D11,IF('Ersetzen Motoren'!$E$8=Ersatz_Motor!$E$1,E11,IF('Ersetzen Motoren'!$E$8=Ersatz_Motor!$F$1,F11,0)))))</f>
        <v>0</v>
      </c>
      <c r="AB11" t="b">
        <f>IF(AND('Ersetzen Motoren'!$H$8&lt;A12, 'Ersetzen Motoren'!$H$8&gt;=A11),TRUE)</f>
        <v>0</v>
      </c>
      <c r="AC11" s="249">
        <f>IF('Ersetzen Motoren'!$I$8=Ersatz_Motor!$B$1,B11,IF('Ersetzen Motoren'!$I$8=Ersatz_Motor!$C$1,C11,IF('Ersetzen Motoren'!$I$8=Ersatz_Motor!$D$1,D11,IF('Ersetzen Motoren'!$I$8=Ersatz_Motor!$E$1,E11,IF('Ersetzen Motoren'!$I$8=Ersatz_Motor!$F$1,F11,0)))))</f>
        <v>0</v>
      </c>
      <c r="AD11" s="248"/>
      <c r="AE11" t="b">
        <f>IF(AND('Ersetzen Motoren'!$D$9&lt;A12, 'Ersetzen Motoren'!$D$9&gt;=A11),TRUE)</f>
        <v>0</v>
      </c>
      <c r="AF11">
        <f>IF('Ersetzen Motoren'!$E$9=Ersatz_Motor!$B$1,B11,IF('Ersetzen Motoren'!$E$9=Ersatz_Motor!$C$1,C11,IF('Ersetzen Motoren'!$E$9=Ersatz_Motor!$D$1,D11,IF('Ersetzen Motoren'!$E$9=Ersatz_Motor!$E$1,E11,IF('Ersetzen Motoren'!$E$9=Ersatz_Motor!$F$1,F11,0)))))</f>
        <v>0</v>
      </c>
      <c r="AG11" t="b">
        <f>IF(AND('Ersetzen Motoren'!$H$9&lt;A12, 'Ersetzen Motoren'!$H$9&gt;=A11),TRUE)</f>
        <v>0</v>
      </c>
      <c r="AH11" s="249">
        <f>IF('Ersetzen Motoren'!$I$9=Ersatz_Motor!$B$1,B11,IF('Ersetzen Motoren'!$I$9=Ersatz_Motor!$C$1,C11,IF('Ersetzen Motoren'!$I$9=Ersatz_Motor!$D$1,D11,IF('Ersetzen Motoren'!$I$9=Ersatz_Motor!$E$1,E11,IF('Ersetzen Motoren'!$I$9=Ersatz_Motor!$F$1,F11,0)))))</f>
        <v>0</v>
      </c>
    </row>
    <row r="12" spans="1:34">
      <c r="A12" s="144">
        <v>2.2000000000000002</v>
      </c>
      <c r="B12" s="147">
        <v>75.599999999999994</v>
      </c>
      <c r="C12" s="147">
        <v>79.7</v>
      </c>
      <c r="D12" s="147">
        <v>84.3</v>
      </c>
      <c r="E12" s="147">
        <v>86.7</v>
      </c>
      <c r="F12" s="148">
        <v>89.5</v>
      </c>
      <c r="G12" t="b">
        <f>IF(AND(Anmeldung!$D$25&lt;A13, Anmeldung!$D$25&gt;=A12),TRUE)</f>
        <v>0</v>
      </c>
      <c r="H12">
        <f>IF(Anmeldung!$I$25=Ersatz_Motor!$B$1,B12,IF(Anmeldung!$I$25=Ersatz_Motor!$C$1,C12,IF(Anmeldung!$I$25=Ersatz_Motor!$D$1,D12,IF(Anmeldung!$I$25=Ersatz_Motor!$E$1,E12,IF(Anmeldung!$I$25=Ersatz_Motor!$F$1,F12,0)))))</f>
        <v>0</v>
      </c>
      <c r="I12">
        <f>IF(Anmeldung!$I$26=Ersatz_Motor!$B$1,B12,IF(Anmeldung!$I$26=Ersatz_Motor!$C$1,C12,IF(Anmeldung!$I$26=Ersatz_Motor!$D$1,D12,IF(Anmeldung!$I$26=Ersatz_Motor!$E$1,E12,IF(Anmeldung!$I$26=Ersatz_Motor!$F$1,F12,0)))))</f>
        <v>0</v>
      </c>
      <c r="J12" s="248"/>
      <c r="K12" t="b">
        <f>IF(AND('Ersetzen Motoren'!$D$5&lt;A13, 'Ersetzen Motoren'!$D$5&gt;=A12),TRUE)</f>
        <v>0</v>
      </c>
      <c r="L12">
        <f>IF('Ersetzen Motoren'!$E$5=Ersatz_Motor!$B$1,B12,IF('Ersetzen Motoren'!$E$5=Ersatz_Motor!$C$1,C12,IF('Ersetzen Motoren'!$E$5=Ersatz_Motor!$D$1,D12,IF('Ersetzen Motoren'!$E$5=Ersatz_Motor!$E$1,E12,IF('Ersetzen Motoren'!$E$5=Ersatz_Motor!$F$1,F12,0)))))</f>
        <v>0</v>
      </c>
      <c r="M12" t="b">
        <f>IF(AND('Ersetzen Motoren'!$H$5&lt;A13, 'Ersetzen Motoren'!$H$5&gt;=A12),TRUE)</f>
        <v>0</v>
      </c>
      <c r="N12" s="249">
        <f>IF('Ersetzen Motoren'!$I$5=Ersatz_Motor!$B$1,B12,IF('Ersetzen Motoren'!$I$5=Ersatz_Motor!$C$1,C12,IF('Ersetzen Motoren'!$I$5=Ersatz_Motor!$D$1,D12,IF('Ersetzen Motoren'!$I$5=Ersatz_Motor!$E$1,E12,IF('Ersetzen Motoren'!$I$5=Ersatz_Motor!$F$1,F12,0)))))</f>
        <v>0</v>
      </c>
      <c r="O12" s="248"/>
      <c r="P12" t="b">
        <f>IF(AND('Ersetzen Motoren'!$D$6&lt;A13, 'Ersetzen Motoren'!$D$6&gt;=A12),TRUE)</f>
        <v>0</v>
      </c>
      <c r="Q12">
        <f>IF('Ersetzen Motoren'!$E$6=Ersatz_Motor!$B$1,B12,IF('Ersetzen Motoren'!$E$6=Ersatz_Motor!$C$1,C12,IF('Ersetzen Motoren'!$E$6=Ersatz_Motor!$D$1,D12,IF('Ersetzen Motoren'!$E$6=Ersatz_Motor!$E$1,E12,IF('Ersetzen Motoren'!$E$6=Ersatz_Motor!$F$1,F12,0)))))</f>
        <v>0</v>
      </c>
      <c r="R12" t="b">
        <f>IF(AND('Ersetzen Motoren'!$H$6&lt;A13, 'Ersetzen Motoren'!$H$6&gt;=A12),TRUE)</f>
        <v>0</v>
      </c>
      <c r="S12" s="249">
        <f>IF('Ersetzen Motoren'!$I$6=Ersatz_Motor!$B$1,B12,IF('Ersetzen Motoren'!$I$6=Ersatz_Motor!$C$1,C12,IF('Ersetzen Motoren'!$I$6=Ersatz_Motor!$D$1,D12,IF('Ersetzen Motoren'!$I$6=Ersatz_Motor!$E$1,E12,IF('Ersetzen Motoren'!$I$6=Ersatz_Motor!$F$1,F12,0)))))</f>
        <v>0</v>
      </c>
      <c r="T12" s="248"/>
      <c r="U12" t="b">
        <f>IF(AND('Ersetzen Motoren'!$D$7&lt;A13, 'Ersetzen Motoren'!$D$7&gt;=A12),TRUE)</f>
        <v>0</v>
      </c>
      <c r="V12">
        <f>IF('Ersetzen Motoren'!$E$7=Ersatz_Motor!$B$1,B12,IF('Ersetzen Motoren'!$E$7=Ersatz_Motor!$C$1,C12,IF('Ersetzen Motoren'!$E$7=Ersatz_Motor!$D$1,D12,IF('Ersetzen Motoren'!$E$7=Ersatz_Motor!$E$1,E12,IF('Ersetzen Motoren'!$E$7=Ersatz_Motor!$F$1,F12,0)))))</f>
        <v>0</v>
      </c>
      <c r="W12" t="b">
        <f>IF(AND('Ersetzen Motoren'!$H$7&lt;A13, 'Ersetzen Motoren'!$H$7&gt;=A12),TRUE)</f>
        <v>0</v>
      </c>
      <c r="X12" s="249">
        <f>IF('Ersetzen Motoren'!$I$7=Ersatz_Motor!$B$1,B12,IF('Ersetzen Motoren'!$I$7=Ersatz_Motor!$C$1,C12,IF('Ersetzen Motoren'!$I$7=Ersatz_Motor!$D$1,D12,IF('Ersetzen Motoren'!$I$7=Ersatz_Motor!$E$1,E12,IF('Ersetzen Motoren'!$I$7=Ersatz_Motor!$F$1,F12,0)))))</f>
        <v>0</v>
      </c>
      <c r="Y12" s="248"/>
      <c r="Z12" t="b">
        <f>IF(AND('Ersetzen Motoren'!$D$8&lt;A13, 'Ersetzen Motoren'!$D$8&gt;=A12),TRUE)</f>
        <v>0</v>
      </c>
      <c r="AA12">
        <f>IF('Ersetzen Motoren'!$E$8=Ersatz_Motor!$B$1,B12,IF('Ersetzen Motoren'!$E$8=Ersatz_Motor!$C$1,C12,IF('Ersetzen Motoren'!$E$8=Ersatz_Motor!$D$1,D12,IF('Ersetzen Motoren'!$E$8=Ersatz_Motor!$E$1,E12,IF('Ersetzen Motoren'!$E$8=Ersatz_Motor!$F$1,F12,0)))))</f>
        <v>0</v>
      </c>
      <c r="AB12" t="b">
        <f>IF(AND('Ersetzen Motoren'!$H$8&lt;A13, 'Ersetzen Motoren'!$H$8&gt;=A12),TRUE)</f>
        <v>0</v>
      </c>
      <c r="AC12" s="249">
        <f>IF('Ersetzen Motoren'!$I$8=Ersatz_Motor!$B$1,B12,IF('Ersetzen Motoren'!$I$8=Ersatz_Motor!$C$1,C12,IF('Ersetzen Motoren'!$I$8=Ersatz_Motor!$D$1,D12,IF('Ersetzen Motoren'!$I$8=Ersatz_Motor!$E$1,E12,IF('Ersetzen Motoren'!$I$8=Ersatz_Motor!$F$1,F12,0)))))</f>
        <v>0</v>
      </c>
      <c r="AD12" s="248"/>
      <c r="AE12" t="b">
        <f>IF(AND('Ersetzen Motoren'!$D$9&lt;A13, 'Ersetzen Motoren'!$D$9&gt;=A12),TRUE)</f>
        <v>0</v>
      </c>
      <c r="AF12">
        <f>IF('Ersetzen Motoren'!$E$9=Ersatz_Motor!$B$1,B12,IF('Ersetzen Motoren'!$E$9=Ersatz_Motor!$C$1,C12,IF('Ersetzen Motoren'!$E$9=Ersatz_Motor!$D$1,D12,IF('Ersetzen Motoren'!$E$9=Ersatz_Motor!$E$1,E12,IF('Ersetzen Motoren'!$E$9=Ersatz_Motor!$F$1,F12,0)))))</f>
        <v>0</v>
      </c>
      <c r="AG12" t="b">
        <f>IF(AND('Ersetzen Motoren'!$H$9&lt;A13, 'Ersetzen Motoren'!$H$9&gt;=A12),TRUE)</f>
        <v>0</v>
      </c>
      <c r="AH12" s="249">
        <f>IF('Ersetzen Motoren'!$I$9=Ersatz_Motor!$B$1,B12,IF('Ersetzen Motoren'!$I$9=Ersatz_Motor!$C$1,C12,IF('Ersetzen Motoren'!$I$9=Ersatz_Motor!$D$1,D12,IF('Ersetzen Motoren'!$I$9=Ersatz_Motor!$E$1,E12,IF('Ersetzen Motoren'!$I$9=Ersatz_Motor!$F$1,F12,0)))))</f>
        <v>0</v>
      </c>
    </row>
    <row r="13" spans="1:34">
      <c r="A13" s="144">
        <v>3</v>
      </c>
      <c r="B13" s="147">
        <v>77.8</v>
      </c>
      <c r="C13" s="147">
        <v>81.5</v>
      </c>
      <c r="D13" s="147">
        <v>85.5</v>
      </c>
      <c r="E13" s="147">
        <v>87.7</v>
      </c>
      <c r="F13" s="148">
        <v>90.4</v>
      </c>
      <c r="G13" t="b">
        <f>IF(AND(Anmeldung!$D$25&lt;A14, Anmeldung!$D$25&gt;=A13),TRUE)</f>
        <v>0</v>
      </c>
      <c r="H13">
        <f>IF(Anmeldung!$I$25=Ersatz_Motor!$B$1,B13,IF(Anmeldung!$I$25=Ersatz_Motor!$C$1,C13,IF(Anmeldung!$I$25=Ersatz_Motor!$D$1,D13,IF(Anmeldung!$I$25=Ersatz_Motor!$E$1,E13,IF(Anmeldung!$I$25=Ersatz_Motor!$F$1,F13,0)))))</f>
        <v>0</v>
      </c>
      <c r="I13">
        <f>IF(Anmeldung!$I$26=Ersatz_Motor!$B$1,B13,IF(Anmeldung!$I$26=Ersatz_Motor!$C$1,C13,IF(Anmeldung!$I$26=Ersatz_Motor!$D$1,D13,IF(Anmeldung!$I$26=Ersatz_Motor!$E$1,E13,IF(Anmeldung!$I$26=Ersatz_Motor!$F$1,F13,0)))))</f>
        <v>0</v>
      </c>
      <c r="J13" s="248"/>
      <c r="K13" t="b">
        <f>IF(AND('Ersetzen Motoren'!$D$5&lt;A14, 'Ersetzen Motoren'!$D$5&gt;=A13),TRUE)</f>
        <v>0</v>
      </c>
      <c r="L13">
        <f>IF('Ersetzen Motoren'!$E$5=Ersatz_Motor!$B$1,B13,IF('Ersetzen Motoren'!$E$5=Ersatz_Motor!$C$1,C13,IF('Ersetzen Motoren'!$E$5=Ersatz_Motor!$D$1,D13,IF('Ersetzen Motoren'!$E$5=Ersatz_Motor!$E$1,E13,IF('Ersetzen Motoren'!$E$5=Ersatz_Motor!$F$1,F13,0)))))</f>
        <v>0</v>
      </c>
      <c r="M13" t="b">
        <f>IF(AND('Ersetzen Motoren'!$H$5&lt;A14, 'Ersetzen Motoren'!$H$5&gt;=A13),TRUE)</f>
        <v>0</v>
      </c>
      <c r="N13" s="249">
        <f>IF('Ersetzen Motoren'!$I$5=Ersatz_Motor!$B$1,B13,IF('Ersetzen Motoren'!$I$5=Ersatz_Motor!$C$1,C13,IF('Ersetzen Motoren'!$I$5=Ersatz_Motor!$D$1,D13,IF('Ersetzen Motoren'!$I$5=Ersatz_Motor!$E$1,E13,IF('Ersetzen Motoren'!$I$5=Ersatz_Motor!$F$1,F13,0)))))</f>
        <v>0</v>
      </c>
      <c r="O13" s="248"/>
      <c r="P13" t="b">
        <f>IF(AND('Ersetzen Motoren'!$D$6&lt;A14, 'Ersetzen Motoren'!$D$6&gt;=A13),TRUE)</f>
        <v>0</v>
      </c>
      <c r="Q13">
        <f>IF('Ersetzen Motoren'!$E$6=Ersatz_Motor!$B$1,B13,IF('Ersetzen Motoren'!$E$6=Ersatz_Motor!$C$1,C13,IF('Ersetzen Motoren'!$E$6=Ersatz_Motor!$D$1,D13,IF('Ersetzen Motoren'!$E$6=Ersatz_Motor!$E$1,E13,IF('Ersetzen Motoren'!$E$6=Ersatz_Motor!$F$1,F13,0)))))</f>
        <v>0</v>
      </c>
      <c r="R13" t="b">
        <f>IF(AND('Ersetzen Motoren'!$H$6&lt;A14, 'Ersetzen Motoren'!$H$6&gt;=A13),TRUE)</f>
        <v>0</v>
      </c>
      <c r="S13" s="249">
        <f>IF('Ersetzen Motoren'!$I$6=Ersatz_Motor!$B$1,B13,IF('Ersetzen Motoren'!$I$6=Ersatz_Motor!$C$1,C13,IF('Ersetzen Motoren'!$I$6=Ersatz_Motor!$D$1,D13,IF('Ersetzen Motoren'!$I$6=Ersatz_Motor!$E$1,E13,IF('Ersetzen Motoren'!$I$6=Ersatz_Motor!$F$1,F13,0)))))</f>
        <v>0</v>
      </c>
      <c r="T13" s="248"/>
      <c r="U13" t="b">
        <f>IF(AND('Ersetzen Motoren'!$D$7&lt;A14, 'Ersetzen Motoren'!$D$7&gt;=A13),TRUE)</f>
        <v>0</v>
      </c>
      <c r="V13">
        <f>IF('Ersetzen Motoren'!$E$7=Ersatz_Motor!$B$1,B13,IF('Ersetzen Motoren'!$E$7=Ersatz_Motor!$C$1,C13,IF('Ersetzen Motoren'!$E$7=Ersatz_Motor!$D$1,D13,IF('Ersetzen Motoren'!$E$7=Ersatz_Motor!$E$1,E13,IF('Ersetzen Motoren'!$E$7=Ersatz_Motor!$F$1,F13,0)))))</f>
        <v>0</v>
      </c>
      <c r="W13" t="b">
        <f>IF(AND('Ersetzen Motoren'!$H$7&lt;A14, 'Ersetzen Motoren'!$H$7&gt;=A13),TRUE)</f>
        <v>0</v>
      </c>
      <c r="X13" s="249">
        <f>IF('Ersetzen Motoren'!$I$7=Ersatz_Motor!$B$1,B13,IF('Ersetzen Motoren'!$I$7=Ersatz_Motor!$C$1,C13,IF('Ersetzen Motoren'!$I$7=Ersatz_Motor!$D$1,D13,IF('Ersetzen Motoren'!$I$7=Ersatz_Motor!$E$1,E13,IF('Ersetzen Motoren'!$I$7=Ersatz_Motor!$F$1,F13,0)))))</f>
        <v>0</v>
      </c>
      <c r="Y13" s="248"/>
      <c r="Z13" t="b">
        <f>IF(AND('Ersetzen Motoren'!$D$8&lt;A14, 'Ersetzen Motoren'!$D$8&gt;=A13),TRUE)</f>
        <v>0</v>
      </c>
      <c r="AA13">
        <f>IF('Ersetzen Motoren'!$E$8=Ersatz_Motor!$B$1,B13,IF('Ersetzen Motoren'!$E$8=Ersatz_Motor!$C$1,C13,IF('Ersetzen Motoren'!$E$8=Ersatz_Motor!$D$1,D13,IF('Ersetzen Motoren'!$E$8=Ersatz_Motor!$E$1,E13,IF('Ersetzen Motoren'!$E$8=Ersatz_Motor!$F$1,F13,0)))))</f>
        <v>0</v>
      </c>
      <c r="AB13" t="b">
        <f>IF(AND('Ersetzen Motoren'!$H$8&lt;A14, 'Ersetzen Motoren'!$H$8&gt;=A13),TRUE)</f>
        <v>0</v>
      </c>
      <c r="AC13" s="249">
        <f>IF('Ersetzen Motoren'!$I$8=Ersatz_Motor!$B$1,B13,IF('Ersetzen Motoren'!$I$8=Ersatz_Motor!$C$1,C13,IF('Ersetzen Motoren'!$I$8=Ersatz_Motor!$D$1,D13,IF('Ersetzen Motoren'!$I$8=Ersatz_Motor!$E$1,E13,IF('Ersetzen Motoren'!$I$8=Ersatz_Motor!$F$1,F13,0)))))</f>
        <v>0</v>
      </c>
      <c r="AD13" s="248"/>
      <c r="AE13" t="b">
        <f>IF(AND('Ersetzen Motoren'!$D$9&lt;A14, 'Ersetzen Motoren'!$D$9&gt;=A13),TRUE)</f>
        <v>0</v>
      </c>
      <c r="AF13">
        <f>IF('Ersetzen Motoren'!$E$9=Ersatz_Motor!$B$1,B13,IF('Ersetzen Motoren'!$E$9=Ersatz_Motor!$C$1,C13,IF('Ersetzen Motoren'!$E$9=Ersatz_Motor!$D$1,D13,IF('Ersetzen Motoren'!$E$9=Ersatz_Motor!$E$1,E13,IF('Ersetzen Motoren'!$E$9=Ersatz_Motor!$F$1,F13,0)))))</f>
        <v>0</v>
      </c>
      <c r="AG13" t="b">
        <f>IF(AND('Ersetzen Motoren'!$H$9&lt;A14, 'Ersetzen Motoren'!$H$9&gt;=A13),TRUE)</f>
        <v>0</v>
      </c>
      <c r="AH13" s="249">
        <f>IF('Ersetzen Motoren'!$I$9=Ersatz_Motor!$B$1,B13,IF('Ersetzen Motoren'!$I$9=Ersatz_Motor!$C$1,C13,IF('Ersetzen Motoren'!$I$9=Ersatz_Motor!$D$1,D13,IF('Ersetzen Motoren'!$I$9=Ersatz_Motor!$E$1,E13,IF('Ersetzen Motoren'!$I$9=Ersatz_Motor!$F$1,F13,0)))))</f>
        <v>0</v>
      </c>
    </row>
    <row r="14" spans="1:34">
      <c r="A14" s="144">
        <v>4</v>
      </c>
      <c r="B14" s="147">
        <v>79.7</v>
      </c>
      <c r="C14" s="147">
        <v>83.1</v>
      </c>
      <c r="D14" s="147">
        <v>86.6</v>
      </c>
      <c r="E14" s="147">
        <v>88.6</v>
      </c>
      <c r="F14" s="148">
        <v>91.1</v>
      </c>
      <c r="G14" t="b">
        <f>IF(AND(Anmeldung!$D$25&lt;A15, Anmeldung!$D$25&gt;=A14),TRUE)</f>
        <v>0</v>
      </c>
      <c r="H14">
        <f>IF(Anmeldung!$I$25=Ersatz_Motor!$B$1,B14,IF(Anmeldung!$I$25=Ersatz_Motor!$C$1,C14,IF(Anmeldung!$I$25=Ersatz_Motor!$D$1,D14,IF(Anmeldung!$I$25=Ersatz_Motor!$E$1,E14,IF(Anmeldung!$I$25=Ersatz_Motor!$F$1,F14,0)))))</f>
        <v>0</v>
      </c>
      <c r="I14">
        <f>IF(Anmeldung!$I$26=Ersatz_Motor!$B$1,B14,IF(Anmeldung!$I$26=Ersatz_Motor!$C$1,C14,IF(Anmeldung!$I$26=Ersatz_Motor!$D$1,D14,IF(Anmeldung!$I$26=Ersatz_Motor!$E$1,E14,IF(Anmeldung!$I$26=Ersatz_Motor!$F$1,F14,0)))))</f>
        <v>0</v>
      </c>
      <c r="J14" s="248"/>
      <c r="K14" t="b">
        <f>IF(AND('Ersetzen Motoren'!$D$5&lt;A15, 'Ersetzen Motoren'!$D$5&gt;=A14),TRUE)</f>
        <v>0</v>
      </c>
      <c r="L14">
        <f>IF('Ersetzen Motoren'!$E$5=Ersatz_Motor!$B$1,B14,IF('Ersetzen Motoren'!$E$5=Ersatz_Motor!$C$1,C14,IF('Ersetzen Motoren'!$E$5=Ersatz_Motor!$D$1,D14,IF('Ersetzen Motoren'!$E$5=Ersatz_Motor!$E$1,E14,IF('Ersetzen Motoren'!$E$5=Ersatz_Motor!$F$1,F14,0)))))</f>
        <v>0</v>
      </c>
      <c r="M14" t="b">
        <f>IF(AND('Ersetzen Motoren'!$H$5&lt;A15, 'Ersetzen Motoren'!$H$5&gt;=A14),TRUE)</f>
        <v>0</v>
      </c>
      <c r="N14" s="249">
        <f>IF('Ersetzen Motoren'!$I$5=Ersatz_Motor!$B$1,B14,IF('Ersetzen Motoren'!$I$5=Ersatz_Motor!$C$1,C14,IF('Ersetzen Motoren'!$I$5=Ersatz_Motor!$D$1,D14,IF('Ersetzen Motoren'!$I$5=Ersatz_Motor!$E$1,E14,IF('Ersetzen Motoren'!$I$5=Ersatz_Motor!$F$1,F14,0)))))</f>
        <v>0</v>
      </c>
      <c r="O14" s="248"/>
      <c r="P14" t="b">
        <f>IF(AND('Ersetzen Motoren'!$D$6&lt;A15, 'Ersetzen Motoren'!$D$6&gt;=A14),TRUE)</f>
        <v>0</v>
      </c>
      <c r="Q14">
        <f>IF('Ersetzen Motoren'!$E$6=Ersatz_Motor!$B$1,B14,IF('Ersetzen Motoren'!$E$6=Ersatz_Motor!$C$1,C14,IF('Ersetzen Motoren'!$E$6=Ersatz_Motor!$D$1,D14,IF('Ersetzen Motoren'!$E$6=Ersatz_Motor!$E$1,E14,IF('Ersetzen Motoren'!$E$6=Ersatz_Motor!$F$1,F14,0)))))</f>
        <v>0</v>
      </c>
      <c r="R14" t="b">
        <f>IF(AND('Ersetzen Motoren'!$H$6&lt;A15, 'Ersetzen Motoren'!$H$6&gt;=A14),TRUE)</f>
        <v>0</v>
      </c>
      <c r="S14" s="249">
        <f>IF('Ersetzen Motoren'!$I$6=Ersatz_Motor!$B$1,B14,IF('Ersetzen Motoren'!$I$6=Ersatz_Motor!$C$1,C14,IF('Ersetzen Motoren'!$I$6=Ersatz_Motor!$D$1,D14,IF('Ersetzen Motoren'!$I$6=Ersatz_Motor!$E$1,E14,IF('Ersetzen Motoren'!$I$6=Ersatz_Motor!$F$1,F14,0)))))</f>
        <v>0</v>
      </c>
      <c r="T14" s="248"/>
      <c r="U14" t="b">
        <f>IF(AND('Ersetzen Motoren'!$D$7&lt;A15, 'Ersetzen Motoren'!$D$7&gt;=A14),TRUE)</f>
        <v>0</v>
      </c>
      <c r="V14">
        <f>IF('Ersetzen Motoren'!$E$7=Ersatz_Motor!$B$1,B14,IF('Ersetzen Motoren'!$E$7=Ersatz_Motor!$C$1,C14,IF('Ersetzen Motoren'!$E$7=Ersatz_Motor!$D$1,D14,IF('Ersetzen Motoren'!$E$7=Ersatz_Motor!$E$1,E14,IF('Ersetzen Motoren'!$E$7=Ersatz_Motor!$F$1,F14,0)))))</f>
        <v>0</v>
      </c>
      <c r="W14" t="b">
        <f>IF(AND('Ersetzen Motoren'!$H$7&lt;A15, 'Ersetzen Motoren'!$H$7&gt;=A14),TRUE)</f>
        <v>0</v>
      </c>
      <c r="X14" s="249">
        <f>IF('Ersetzen Motoren'!$I$7=Ersatz_Motor!$B$1,B14,IF('Ersetzen Motoren'!$I$7=Ersatz_Motor!$C$1,C14,IF('Ersetzen Motoren'!$I$7=Ersatz_Motor!$D$1,D14,IF('Ersetzen Motoren'!$I$7=Ersatz_Motor!$E$1,E14,IF('Ersetzen Motoren'!$I$7=Ersatz_Motor!$F$1,F14,0)))))</f>
        <v>0</v>
      </c>
      <c r="Y14" s="248"/>
      <c r="Z14" t="b">
        <f>IF(AND('Ersetzen Motoren'!$D$8&lt;A15, 'Ersetzen Motoren'!$D$8&gt;=A14),TRUE)</f>
        <v>0</v>
      </c>
      <c r="AA14">
        <f>IF('Ersetzen Motoren'!$E$8=Ersatz_Motor!$B$1,B14,IF('Ersetzen Motoren'!$E$8=Ersatz_Motor!$C$1,C14,IF('Ersetzen Motoren'!$E$8=Ersatz_Motor!$D$1,D14,IF('Ersetzen Motoren'!$E$8=Ersatz_Motor!$E$1,E14,IF('Ersetzen Motoren'!$E$8=Ersatz_Motor!$F$1,F14,0)))))</f>
        <v>0</v>
      </c>
      <c r="AB14" t="b">
        <f>IF(AND('Ersetzen Motoren'!$H$8&lt;A15, 'Ersetzen Motoren'!$H$8&gt;=A14),TRUE)</f>
        <v>0</v>
      </c>
      <c r="AC14" s="249">
        <f>IF('Ersetzen Motoren'!$I$8=Ersatz_Motor!$B$1,B14,IF('Ersetzen Motoren'!$I$8=Ersatz_Motor!$C$1,C14,IF('Ersetzen Motoren'!$I$8=Ersatz_Motor!$D$1,D14,IF('Ersetzen Motoren'!$I$8=Ersatz_Motor!$E$1,E14,IF('Ersetzen Motoren'!$I$8=Ersatz_Motor!$F$1,F14,0)))))</f>
        <v>0</v>
      </c>
      <c r="AD14" s="248"/>
      <c r="AE14" t="b">
        <f>IF(AND('Ersetzen Motoren'!$D$9&lt;A15, 'Ersetzen Motoren'!$D$9&gt;=A14),TRUE)</f>
        <v>0</v>
      </c>
      <c r="AF14">
        <f>IF('Ersetzen Motoren'!$E$9=Ersatz_Motor!$B$1,B14,IF('Ersetzen Motoren'!$E$9=Ersatz_Motor!$C$1,C14,IF('Ersetzen Motoren'!$E$9=Ersatz_Motor!$D$1,D14,IF('Ersetzen Motoren'!$E$9=Ersatz_Motor!$E$1,E14,IF('Ersetzen Motoren'!$E$9=Ersatz_Motor!$F$1,F14,0)))))</f>
        <v>0</v>
      </c>
      <c r="AG14" t="b">
        <f>IF(AND('Ersetzen Motoren'!$H$9&lt;A15, 'Ersetzen Motoren'!$H$9&gt;=A14),TRUE)</f>
        <v>0</v>
      </c>
      <c r="AH14" s="249">
        <f>IF('Ersetzen Motoren'!$I$9=Ersatz_Motor!$B$1,B14,IF('Ersetzen Motoren'!$I$9=Ersatz_Motor!$C$1,C14,IF('Ersetzen Motoren'!$I$9=Ersatz_Motor!$D$1,D14,IF('Ersetzen Motoren'!$I$9=Ersatz_Motor!$E$1,E14,IF('Ersetzen Motoren'!$I$9=Ersatz_Motor!$F$1,F14,0)))))</f>
        <v>0</v>
      </c>
    </row>
    <row r="15" spans="1:34">
      <c r="A15" s="144">
        <v>5.5</v>
      </c>
      <c r="B15" s="147">
        <v>81.599999999999994</v>
      </c>
      <c r="C15" s="147">
        <v>84.7</v>
      </c>
      <c r="D15" s="147">
        <v>87.7</v>
      </c>
      <c r="E15" s="147">
        <v>89.6</v>
      </c>
      <c r="F15" s="148">
        <v>91.9</v>
      </c>
      <c r="G15" t="b">
        <f>IF(AND(Anmeldung!$D$25&lt;A16, Anmeldung!$D$25&gt;=A15),TRUE)</f>
        <v>0</v>
      </c>
      <c r="H15">
        <f>IF(Anmeldung!$I$25=Ersatz_Motor!$B$1,B15,IF(Anmeldung!$I$25=Ersatz_Motor!$C$1,C15,IF(Anmeldung!$I$25=Ersatz_Motor!$D$1,D15,IF(Anmeldung!$I$25=Ersatz_Motor!$E$1,E15,IF(Anmeldung!$I$25=Ersatz_Motor!$F$1,F15,0)))))</f>
        <v>0</v>
      </c>
      <c r="I15">
        <f>IF(Anmeldung!$I$26=Ersatz_Motor!$B$1,B15,IF(Anmeldung!$I$26=Ersatz_Motor!$C$1,C15,IF(Anmeldung!$I$26=Ersatz_Motor!$D$1,D15,IF(Anmeldung!$I$26=Ersatz_Motor!$E$1,E15,IF(Anmeldung!$I$26=Ersatz_Motor!$F$1,F15,0)))))</f>
        <v>0</v>
      </c>
      <c r="J15" s="248"/>
      <c r="K15" t="b">
        <f>IF(AND('Ersetzen Motoren'!$D$5&lt;A16, 'Ersetzen Motoren'!$D$5&gt;=A15),TRUE)</f>
        <v>0</v>
      </c>
      <c r="L15">
        <f>IF('Ersetzen Motoren'!$E$5=Ersatz_Motor!$B$1,B15,IF('Ersetzen Motoren'!$E$5=Ersatz_Motor!$C$1,C15,IF('Ersetzen Motoren'!$E$5=Ersatz_Motor!$D$1,D15,IF('Ersetzen Motoren'!$E$5=Ersatz_Motor!$E$1,E15,IF('Ersetzen Motoren'!$E$5=Ersatz_Motor!$F$1,F15,0)))))</f>
        <v>0</v>
      </c>
      <c r="M15" t="b">
        <f>IF(AND('Ersetzen Motoren'!$H$5&lt;A16, 'Ersetzen Motoren'!$H$5&gt;=A15),TRUE)</f>
        <v>0</v>
      </c>
      <c r="N15" s="249">
        <f>IF('Ersetzen Motoren'!$I$5=Ersatz_Motor!$B$1,B15,IF('Ersetzen Motoren'!$I$5=Ersatz_Motor!$C$1,C15,IF('Ersetzen Motoren'!$I$5=Ersatz_Motor!$D$1,D15,IF('Ersetzen Motoren'!$I$5=Ersatz_Motor!$E$1,E15,IF('Ersetzen Motoren'!$I$5=Ersatz_Motor!$F$1,F15,0)))))</f>
        <v>0</v>
      </c>
      <c r="O15" s="248"/>
      <c r="P15" t="b">
        <f>IF(AND('Ersetzen Motoren'!$D$6&lt;A16, 'Ersetzen Motoren'!$D$6&gt;=A15),TRUE)</f>
        <v>0</v>
      </c>
      <c r="Q15">
        <f>IF('Ersetzen Motoren'!$E$6=Ersatz_Motor!$B$1,B15,IF('Ersetzen Motoren'!$E$6=Ersatz_Motor!$C$1,C15,IF('Ersetzen Motoren'!$E$6=Ersatz_Motor!$D$1,D15,IF('Ersetzen Motoren'!$E$6=Ersatz_Motor!$E$1,E15,IF('Ersetzen Motoren'!$E$6=Ersatz_Motor!$F$1,F15,0)))))</f>
        <v>0</v>
      </c>
      <c r="R15" t="b">
        <f>IF(AND('Ersetzen Motoren'!$H$6&lt;A16, 'Ersetzen Motoren'!$H$6&gt;=A15),TRUE)</f>
        <v>0</v>
      </c>
      <c r="S15" s="249">
        <f>IF('Ersetzen Motoren'!$I$6=Ersatz_Motor!$B$1,B15,IF('Ersetzen Motoren'!$I$6=Ersatz_Motor!$C$1,C15,IF('Ersetzen Motoren'!$I$6=Ersatz_Motor!$D$1,D15,IF('Ersetzen Motoren'!$I$6=Ersatz_Motor!$E$1,E15,IF('Ersetzen Motoren'!$I$6=Ersatz_Motor!$F$1,F15,0)))))</f>
        <v>0</v>
      </c>
      <c r="T15" s="248"/>
      <c r="U15" t="b">
        <f>IF(AND('Ersetzen Motoren'!$D$7&lt;A16, 'Ersetzen Motoren'!$D$7&gt;=A15),TRUE)</f>
        <v>0</v>
      </c>
      <c r="V15">
        <f>IF('Ersetzen Motoren'!$E$7=Ersatz_Motor!$B$1,B15,IF('Ersetzen Motoren'!$E$7=Ersatz_Motor!$C$1,C15,IF('Ersetzen Motoren'!$E$7=Ersatz_Motor!$D$1,D15,IF('Ersetzen Motoren'!$E$7=Ersatz_Motor!$E$1,E15,IF('Ersetzen Motoren'!$E$7=Ersatz_Motor!$F$1,F15,0)))))</f>
        <v>0</v>
      </c>
      <c r="W15" t="b">
        <f>IF(AND('Ersetzen Motoren'!$H$7&lt;A16, 'Ersetzen Motoren'!$H$7&gt;=A15),TRUE)</f>
        <v>0</v>
      </c>
      <c r="X15" s="249">
        <f>IF('Ersetzen Motoren'!$I$7=Ersatz_Motor!$B$1,B15,IF('Ersetzen Motoren'!$I$7=Ersatz_Motor!$C$1,C15,IF('Ersetzen Motoren'!$I$7=Ersatz_Motor!$D$1,D15,IF('Ersetzen Motoren'!$I$7=Ersatz_Motor!$E$1,E15,IF('Ersetzen Motoren'!$I$7=Ersatz_Motor!$F$1,F15,0)))))</f>
        <v>0</v>
      </c>
      <c r="Y15" s="248"/>
      <c r="Z15" t="b">
        <f>IF(AND('Ersetzen Motoren'!$D$8&lt;A16, 'Ersetzen Motoren'!$D$8&gt;=A15),TRUE)</f>
        <v>0</v>
      </c>
      <c r="AA15">
        <f>IF('Ersetzen Motoren'!$E$8=Ersatz_Motor!$B$1,B15,IF('Ersetzen Motoren'!$E$8=Ersatz_Motor!$C$1,C15,IF('Ersetzen Motoren'!$E$8=Ersatz_Motor!$D$1,D15,IF('Ersetzen Motoren'!$E$8=Ersatz_Motor!$E$1,E15,IF('Ersetzen Motoren'!$E$8=Ersatz_Motor!$F$1,F15,0)))))</f>
        <v>0</v>
      </c>
      <c r="AB15" t="b">
        <f>IF(AND('Ersetzen Motoren'!$H$8&lt;A16, 'Ersetzen Motoren'!$H$8&gt;=A15),TRUE)</f>
        <v>0</v>
      </c>
      <c r="AC15" s="249">
        <f>IF('Ersetzen Motoren'!$I$8=Ersatz_Motor!$B$1,B15,IF('Ersetzen Motoren'!$I$8=Ersatz_Motor!$C$1,C15,IF('Ersetzen Motoren'!$I$8=Ersatz_Motor!$D$1,D15,IF('Ersetzen Motoren'!$I$8=Ersatz_Motor!$E$1,E15,IF('Ersetzen Motoren'!$I$8=Ersatz_Motor!$F$1,F15,0)))))</f>
        <v>0</v>
      </c>
      <c r="AD15" s="248"/>
      <c r="AE15" t="b">
        <f>IF(AND('Ersetzen Motoren'!$D$9&lt;A16, 'Ersetzen Motoren'!$D$9&gt;=A15),TRUE)</f>
        <v>0</v>
      </c>
      <c r="AF15">
        <f>IF('Ersetzen Motoren'!$E$9=Ersatz_Motor!$B$1,B15,IF('Ersetzen Motoren'!$E$9=Ersatz_Motor!$C$1,C15,IF('Ersetzen Motoren'!$E$9=Ersatz_Motor!$D$1,D15,IF('Ersetzen Motoren'!$E$9=Ersatz_Motor!$E$1,E15,IF('Ersetzen Motoren'!$E$9=Ersatz_Motor!$F$1,F15,0)))))</f>
        <v>0</v>
      </c>
      <c r="AG15" t="b">
        <f>IF(AND('Ersetzen Motoren'!$H$9&lt;A16, 'Ersetzen Motoren'!$H$9&gt;=A15),TRUE)</f>
        <v>0</v>
      </c>
      <c r="AH15" s="249">
        <f>IF('Ersetzen Motoren'!$I$9=Ersatz_Motor!$B$1,B15,IF('Ersetzen Motoren'!$I$9=Ersatz_Motor!$C$1,C15,IF('Ersetzen Motoren'!$I$9=Ersatz_Motor!$D$1,D15,IF('Ersetzen Motoren'!$I$9=Ersatz_Motor!$E$1,E15,IF('Ersetzen Motoren'!$I$9=Ersatz_Motor!$F$1,F15,0)))))</f>
        <v>0</v>
      </c>
    </row>
    <row r="16" spans="1:34">
      <c r="A16" s="144">
        <v>7.5</v>
      </c>
      <c r="B16" s="147">
        <v>83.2</v>
      </c>
      <c r="C16" s="147">
        <v>86</v>
      </c>
      <c r="D16" s="147">
        <v>88.7</v>
      </c>
      <c r="E16" s="147">
        <v>90.4</v>
      </c>
      <c r="F16" s="148">
        <v>92.6</v>
      </c>
      <c r="G16" t="b">
        <f>IF(AND(Anmeldung!$D$25&lt;A17, Anmeldung!$D$25&gt;=A16),TRUE)</f>
        <v>0</v>
      </c>
      <c r="H16">
        <f>IF(Anmeldung!$I$25=Ersatz_Motor!$B$1,B16,IF(Anmeldung!$I$25=Ersatz_Motor!$C$1,C16,IF(Anmeldung!$I$25=Ersatz_Motor!$D$1,D16,IF(Anmeldung!$I$25=Ersatz_Motor!$E$1,E16,IF(Anmeldung!$I$25=Ersatz_Motor!$F$1,F16,0)))))</f>
        <v>0</v>
      </c>
      <c r="I16">
        <f>IF(Anmeldung!$I$26=Ersatz_Motor!$B$1,B16,IF(Anmeldung!$I$26=Ersatz_Motor!$C$1,C16,IF(Anmeldung!$I$26=Ersatz_Motor!$D$1,D16,IF(Anmeldung!$I$26=Ersatz_Motor!$E$1,E16,IF(Anmeldung!$I$26=Ersatz_Motor!$F$1,F16,0)))))</f>
        <v>0</v>
      </c>
      <c r="J16" s="248"/>
      <c r="K16" t="b">
        <f>IF(AND('Ersetzen Motoren'!$D$5&lt;A17, 'Ersetzen Motoren'!$D$5&gt;=A16),TRUE)</f>
        <v>0</v>
      </c>
      <c r="L16">
        <f>IF('Ersetzen Motoren'!$E$5=Ersatz_Motor!$B$1,B16,IF('Ersetzen Motoren'!$E$5=Ersatz_Motor!$C$1,C16,IF('Ersetzen Motoren'!$E$5=Ersatz_Motor!$D$1,D16,IF('Ersetzen Motoren'!$E$5=Ersatz_Motor!$E$1,E16,IF('Ersetzen Motoren'!$E$5=Ersatz_Motor!$F$1,F16,0)))))</f>
        <v>0</v>
      </c>
      <c r="M16" t="b">
        <f>IF(AND('Ersetzen Motoren'!$H$5&lt;A17, 'Ersetzen Motoren'!$H$5&gt;=A16),TRUE)</f>
        <v>0</v>
      </c>
      <c r="N16" s="249">
        <f>IF('Ersetzen Motoren'!$I$5=Ersatz_Motor!$B$1,B16,IF('Ersetzen Motoren'!$I$5=Ersatz_Motor!$C$1,C16,IF('Ersetzen Motoren'!$I$5=Ersatz_Motor!$D$1,D16,IF('Ersetzen Motoren'!$I$5=Ersatz_Motor!$E$1,E16,IF('Ersetzen Motoren'!$I$5=Ersatz_Motor!$F$1,F16,0)))))</f>
        <v>0</v>
      </c>
      <c r="O16" s="248"/>
      <c r="P16" t="b">
        <f>IF(AND('Ersetzen Motoren'!$D$6&lt;A17, 'Ersetzen Motoren'!$D$6&gt;=A16),TRUE)</f>
        <v>0</v>
      </c>
      <c r="Q16">
        <f>IF('Ersetzen Motoren'!$E$6=Ersatz_Motor!$B$1,B16,IF('Ersetzen Motoren'!$E$6=Ersatz_Motor!$C$1,C16,IF('Ersetzen Motoren'!$E$6=Ersatz_Motor!$D$1,D16,IF('Ersetzen Motoren'!$E$6=Ersatz_Motor!$E$1,E16,IF('Ersetzen Motoren'!$E$6=Ersatz_Motor!$F$1,F16,0)))))</f>
        <v>0</v>
      </c>
      <c r="R16" t="b">
        <f>IF(AND('Ersetzen Motoren'!$H$6&lt;A17, 'Ersetzen Motoren'!$H$6&gt;=A16),TRUE)</f>
        <v>0</v>
      </c>
      <c r="S16" s="249">
        <f>IF('Ersetzen Motoren'!$I$6=Ersatz_Motor!$B$1,B16,IF('Ersetzen Motoren'!$I$6=Ersatz_Motor!$C$1,C16,IF('Ersetzen Motoren'!$I$6=Ersatz_Motor!$D$1,D16,IF('Ersetzen Motoren'!$I$6=Ersatz_Motor!$E$1,E16,IF('Ersetzen Motoren'!$I$6=Ersatz_Motor!$F$1,F16,0)))))</f>
        <v>0</v>
      </c>
      <c r="T16" s="248"/>
      <c r="U16" t="b">
        <f>IF(AND('Ersetzen Motoren'!$D$7&lt;A17, 'Ersetzen Motoren'!$D$7&gt;=A16),TRUE)</f>
        <v>0</v>
      </c>
      <c r="V16">
        <f>IF('Ersetzen Motoren'!$E$7=Ersatz_Motor!$B$1,B16,IF('Ersetzen Motoren'!$E$7=Ersatz_Motor!$C$1,C16,IF('Ersetzen Motoren'!$E$7=Ersatz_Motor!$D$1,D16,IF('Ersetzen Motoren'!$E$7=Ersatz_Motor!$E$1,E16,IF('Ersetzen Motoren'!$E$7=Ersatz_Motor!$F$1,F16,0)))))</f>
        <v>0</v>
      </c>
      <c r="W16" t="b">
        <f>IF(AND('Ersetzen Motoren'!$H$7&lt;A17, 'Ersetzen Motoren'!$H$7&gt;=A16),TRUE)</f>
        <v>0</v>
      </c>
      <c r="X16" s="249">
        <f>IF('Ersetzen Motoren'!$I$7=Ersatz_Motor!$B$1,B16,IF('Ersetzen Motoren'!$I$7=Ersatz_Motor!$C$1,C16,IF('Ersetzen Motoren'!$I$7=Ersatz_Motor!$D$1,D16,IF('Ersetzen Motoren'!$I$7=Ersatz_Motor!$E$1,E16,IF('Ersetzen Motoren'!$I$7=Ersatz_Motor!$F$1,F16,0)))))</f>
        <v>0</v>
      </c>
      <c r="Y16" s="248"/>
      <c r="Z16" t="b">
        <f>IF(AND('Ersetzen Motoren'!$D$8&lt;A17, 'Ersetzen Motoren'!$D$8&gt;=A16),TRUE)</f>
        <v>0</v>
      </c>
      <c r="AA16">
        <f>IF('Ersetzen Motoren'!$E$8=Ersatz_Motor!$B$1,B16,IF('Ersetzen Motoren'!$E$8=Ersatz_Motor!$C$1,C16,IF('Ersetzen Motoren'!$E$8=Ersatz_Motor!$D$1,D16,IF('Ersetzen Motoren'!$E$8=Ersatz_Motor!$E$1,E16,IF('Ersetzen Motoren'!$E$8=Ersatz_Motor!$F$1,F16,0)))))</f>
        <v>0</v>
      </c>
      <c r="AB16" t="b">
        <f>IF(AND('Ersetzen Motoren'!$H$8&lt;A17, 'Ersetzen Motoren'!$H$8&gt;=A16),TRUE)</f>
        <v>0</v>
      </c>
      <c r="AC16" s="249">
        <f>IF('Ersetzen Motoren'!$I$8=Ersatz_Motor!$B$1,B16,IF('Ersetzen Motoren'!$I$8=Ersatz_Motor!$C$1,C16,IF('Ersetzen Motoren'!$I$8=Ersatz_Motor!$D$1,D16,IF('Ersetzen Motoren'!$I$8=Ersatz_Motor!$E$1,E16,IF('Ersetzen Motoren'!$I$8=Ersatz_Motor!$F$1,F16,0)))))</f>
        <v>0</v>
      </c>
      <c r="AD16" s="248"/>
      <c r="AE16" t="b">
        <f>IF(AND('Ersetzen Motoren'!$D$9&lt;A17, 'Ersetzen Motoren'!$D$9&gt;=A16),TRUE)</f>
        <v>0</v>
      </c>
      <c r="AF16">
        <f>IF('Ersetzen Motoren'!$E$9=Ersatz_Motor!$B$1,B16,IF('Ersetzen Motoren'!$E$9=Ersatz_Motor!$C$1,C16,IF('Ersetzen Motoren'!$E$9=Ersatz_Motor!$D$1,D16,IF('Ersetzen Motoren'!$E$9=Ersatz_Motor!$E$1,E16,IF('Ersetzen Motoren'!$E$9=Ersatz_Motor!$F$1,F16,0)))))</f>
        <v>0</v>
      </c>
      <c r="AG16" t="b">
        <f>IF(AND('Ersetzen Motoren'!$H$9&lt;A17, 'Ersetzen Motoren'!$H$9&gt;=A16),TRUE)</f>
        <v>0</v>
      </c>
      <c r="AH16" s="249">
        <f>IF('Ersetzen Motoren'!$I$9=Ersatz_Motor!$B$1,B16,IF('Ersetzen Motoren'!$I$9=Ersatz_Motor!$C$1,C16,IF('Ersetzen Motoren'!$I$9=Ersatz_Motor!$D$1,D16,IF('Ersetzen Motoren'!$I$9=Ersatz_Motor!$E$1,E16,IF('Ersetzen Motoren'!$I$9=Ersatz_Motor!$F$1,F16,0)))))</f>
        <v>0</v>
      </c>
    </row>
    <row r="17" spans="1:34">
      <c r="A17" s="149">
        <v>11</v>
      </c>
      <c r="B17" s="147">
        <v>85.1</v>
      </c>
      <c r="C17" s="147">
        <v>87.6</v>
      </c>
      <c r="D17" s="147">
        <v>89.8</v>
      </c>
      <c r="E17" s="147">
        <v>91.4</v>
      </c>
      <c r="F17" s="148">
        <v>93.3</v>
      </c>
      <c r="G17" t="b">
        <f>IF(AND(Anmeldung!$D$25&lt;A18, Anmeldung!$D$25&gt;=A17),TRUE)</f>
        <v>0</v>
      </c>
      <c r="H17">
        <f>IF(Anmeldung!$I$25=Ersatz_Motor!$B$1,B17,IF(Anmeldung!$I$25=Ersatz_Motor!$C$1,C17,IF(Anmeldung!$I$25=Ersatz_Motor!$D$1,D17,IF(Anmeldung!$I$25=Ersatz_Motor!$E$1,E17,IF(Anmeldung!$I$25=Ersatz_Motor!$F$1,F17,0)))))</f>
        <v>0</v>
      </c>
      <c r="I17">
        <f>IF(Anmeldung!$I$26=Ersatz_Motor!$B$1,B17,IF(Anmeldung!$I$26=Ersatz_Motor!$C$1,C17,IF(Anmeldung!$I$26=Ersatz_Motor!$D$1,D17,IF(Anmeldung!$I$26=Ersatz_Motor!$E$1,E17,IF(Anmeldung!$I$26=Ersatz_Motor!$F$1,F17,0)))))</f>
        <v>0</v>
      </c>
      <c r="J17" s="248"/>
      <c r="K17" t="b">
        <f>IF(AND('Ersetzen Motoren'!$D$5&lt;A18, 'Ersetzen Motoren'!$D$5&gt;=A17),TRUE)</f>
        <v>0</v>
      </c>
      <c r="L17">
        <f>IF('Ersetzen Motoren'!$E$5=Ersatz_Motor!$B$1,B17,IF('Ersetzen Motoren'!$E$5=Ersatz_Motor!$C$1,C17,IF('Ersetzen Motoren'!$E$5=Ersatz_Motor!$D$1,D17,IF('Ersetzen Motoren'!$E$5=Ersatz_Motor!$E$1,E17,IF('Ersetzen Motoren'!$E$5=Ersatz_Motor!$F$1,F17,0)))))</f>
        <v>0</v>
      </c>
      <c r="M17" t="b">
        <f>IF(AND('Ersetzen Motoren'!$H$5&lt;A18, 'Ersetzen Motoren'!$H$5&gt;=A17),TRUE)</f>
        <v>0</v>
      </c>
      <c r="N17" s="249">
        <f>IF('Ersetzen Motoren'!$I$5=Ersatz_Motor!$B$1,B17,IF('Ersetzen Motoren'!$I$5=Ersatz_Motor!$C$1,C17,IF('Ersetzen Motoren'!$I$5=Ersatz_Motor!$D$1,D17,IF('Ersetzen Motoren'!$I$5=Ersatz_Motor!$E$1,E17,IF('Ersetzen Motoren'!$I$5=Ersatz_Motor!$F$1,F17,0)))))</f>
        <v>0</v>
      </c>
      <c r="O17" s="248"/>
      <c r="P17" t="b">
        <f>IF(AND('Ersetzen Motoren'!$D$6&lt;A18, 'Ersetzen Motoren'!$D$6&gt;=A17),TRUE)</f>
        <v>0</v>
      </c>
      <c r="Q17">
        <f>IF('Ersetzen Motoren'!$E$6=Ersatz_Motor!$B$1,B17,IF('Ersetzen Motoren'!$E$6=Ersatz_Motor!$C$1,C17,IF('Ersetzen Motoren'!$E$6=Ersatz_Motor!$D$1,D17,IF('Ersetzen Motoren'!$E$6=Ersatz_Motor!$E$1,E17,IF('Ersetzen Motoren'!$E$6=Ersatz_Motor!$F$1,F17,0)))))</f>
        <v>0</v>
      </c>
      <c r="R17" t="b">
        <f>IF(AND('Ersetzen Motoren'!$H$6&lt;A18, 'Ersetzen Motoren'!$H$6&gt;=A17),TRUE)</f>
        <v>0</v>
      </c>
      <c r="S17" s="249">
        <f>IF('Ersetzen Motoren'!$I$6=Ersatz_Motor!$B$1,B17,IF('Ersetzen Motoren'!$I$6=Ersatz_Motor!$C$1,C17,IF('Ersetzen Motoren'!$I$6=Ersatz_Motor!$D$1,D17,IF('Ersetzen Motoren'!$I$6=Ersatz_Motor!$E$1,E17,IF('Ersetzen Motoren'!$I$6=Ersatz_Motor!$F$1,F17,0)))))</f>
        <v>0</v>
      </c>
      <c r="T17" s="248"/>
      <c r="U17" t="b">
        <f>IF(AND('Ersetzen Motoren'!$D$7&lt;A18, 'Ersetzen Motoren'!$D$7&gt;=A17),TRUE)</f>
        <v>0</v>
      </c>
      <c r="V17">
        <f>IF('Ersetzen Motoren'!$E$7=Ersatz_Motor!$B$1,B17,IF('Ersetzen Motoren'!$E$7=Ersatz_Motor!$C$1,C17,IF('Ersetzen Motoren'!$E$7=Ersatz_Motor!$D$1,D17,IF('Ersetzen Motoren'!$E$7=Ersatz_Motor!$E$1,E17,IF('Ersetzen Motoren'!$E$7=Ersatz_Motor!$F$1,F17,0)))))</f>
        <v>0</v>
      </c>
      <c r="W17" t="b">
        <f>IF(AND('Ersetzen Motoren'!$H$7&lt;A18, 'Ersetzen Motoren'!$H$7&gt;=A17),TRUE)</f>
        <v>0</v>
      </c>
      <c r="X17" s="249">
        <f>IF('Ersetzen Motoren'!$I$7=Ersatz_Motor!$B$1,B17,IF('Ersetzen Motoren'!$I$7=Ersatz_Motor!$C$1,C17,IF('Ersetzen Motoren'!$I$7=Ersatz_Motor!$D$1,D17,IF('Ersetzen Motoren'!$I$7=Ersatz_Motor!$E$1,E17,IF('Ersetzen Motoren'!$I$7=Ersatz_Motor!$F$1,F17,0)))))</f>
        <v>0</v>
      </c>
      <c r="Y17" s="248"/>
      <c r="Z17" t="b">
        <f>IF(AND('Ersetzen Motoren'!$D$8&lt;A18, 'Ersetzen Motoren'!$D$8&gt;=A17),TRUE)</f>
        <v>0</v>
      </c>
      <c r="AA17">
        <f>IF('Ersetzen Motoren'!$E$8=Ersatz_Motor!$B$1,B17,IF('Ersetzen Motoren'!$E$8=Ersatz_Motor!$C$1,C17,IF('Ersetzen Motoren'!$E$8=Ersatz_Motor!$D$1,D17,IF('Ersetzen Motoren'!$E$8=Ersatz_Motor!$E$1,E17,IF('Ersetzen Motoren'!$E$8=Ersatz_Motor!$F$1,F17,0)))))</f>
        <v>0</v>
      </c>
      <c r="AB17" t="b">
        <f>IF(AND('Ersetzen Motoren'!$H$8&lt;A18, 'Ersetzen Motoren'!$H$8&gt;=A17),TRUE)</f>
        <v>0</v>
      </c>
      <c r="AC17" s="249">
        <f>IF('Ersetzen Motoren'!$I$8=Ersatz_Motor!$B$1,B17,IF('Ersetzen Motoren'!$I$8=Ersatz_Motor!$C$1,C17,IF('Ersetzen Motoren'!$I$8=Ersatz_Motor!$D$1,D17,IF('Ersetzen Motoren'!$I$8=Ersatz_Motor!$E$1,E17,IF('Ersetzen Motoren'!$I$8=Ersatz_Motor!$F$1,F17,0)))))</f>
        <v>0</v>
      </c>
      <c r="AD17" s="248"/>
      <c r="AE17" t="b">
        <f>IF(AND('Ersetzen Motoren'!$D$9&lt;A18, 'Ersetzen Motoren'!$D$9&gt;=A17),TRUE)</f>
        <v>0</v>
      </c>
      <c r="AF17">
        <f>IF('Ersetzen Motoren'!$E$9=Ersatz_Motor!$B$1,B17,IF('Ersetzen Motoren'!$E$9=Ersatz_Motor!$C$1,C17,IF('Ersetzen Motoren'!$E$9=Ersatz_Motor!$D$1,D17,IF('Ersetzen Motoren'!$E$9=Ersatz_Motor!$E$1,E17,IF('Ersetzen Motoren'!$E$9=Ersatz_Motor!$F$1,F17,0)))))</f>
        <v>0</v>
      </c>
      <c r="AG17" t="b">
        <f>IF(AND('Ersetzen Motoren'!$H$9&lt;A18, 'Ersetzen Motoren'!$H$9&gt;=A17),TRUE)</f>
        <v>0</v>
      </c>
      <c r="AH17" s="249">
        <f>IF('Ersetzen Motoren'!$I$9=Ersatz_Motor!$B$1,B17,IF('Ersetzen Motoren'!$I$9=Ersatz_Motor!$C$1,C17,IF('Ersetzen Motoren'!$I$9=Ersatz_Motor!$D$1,D17,IF('Ersetzen Motoren'!$I$9=Ersatz_Motor!$E$1,E17,IF('Ersetzen Motoren'!$I$9=Ersatz_Motor!$F$1,F17,0)))))</f>
        <v>0</v>
      </c>
    </row>
    <row r="18" spans="1:34">
      <c r="A18" s="149">
        <v>15</v>
      </c>
      <c r="B18" s="147">
        <v>86.4</v>
      </c>
      <c r="C18" s="147">
        <v>88.7</v>
      </c>
      <c r="D18" s="147">
        <v>90.6</v>
      </c>
      <c r="E18" s="147">
        <v>92.1</v>
      </c>
      <c r="F18" s="148">
        <v>93.9</v>
      </c>
      <c r="G18" t="b">
        <f>IF(AND(Anmeldung!$D$25&lt;A19, Anmeldung!$D$25&gt;=A18),TRUE)</f>
        <v>0</v>
      </c>
      <c r="H18">
        <f>IF(Anmeldung!$I$25=Ersatz_Motor!$B$1,B18,IF(Anmeldung!$I$25=Ersatz_Motor!$C$1,C18,IF(Anmeldung!$I$25=Ersatz_Motor!$D$1,D18,IF(Anmeldung!$I$25=Ersatz_Motor!$E$1,E18,IF(Anmeldung!$I$25=Ersatz_Motor!$F$1,F18,0)))))</f>
        <v>0</v>
      </c>
      <c r="I18">
        <f>IF(Anmeldung!$I$26=Ersatz_Motor!$B$1,B18,IF(Anmeldung!$I$26=Ersatz_Motor!$C$1,C18,IF(Anmeldung!$I$26=Ersatz_Motor!$D$1,D18,IF(Anmeldung!$I$26=Ersatz_Motor!$E$1,E18,IF(Anmeldung!$I$26=Ersatz_Motor!$F$1,F18,0)))))</f>
        <v>0</v>
      </c>
      <c r="J18" s="248"/>
      <c r="K18" t="b">
        <f>IF(AND('Ersetzen Motoren'!$D$5&lt;A19, 'Ersetzen Motoren'!$D$5&gt;=A18),TRUE)</f>
        <v>0</v>
      </c>
      <c r="L18">
        <f>IF('Ersetzen Motoren'!$E$5=Ersatz_Motor!$B$1,B18,IF('Ersetzen Motoren'!$E$5=Ersatz_Motor!$C$1,C18,IF('Ersetzen Motoren'!$E$5=Ersatz_Motor!$D$1,D18,IF('Ersetzen Motoren'!$E$5=Ersatz_Motor!$E$1,E18,IF('Ersetzen Motoren'!$E$5=Ersatz_Motor!$F$1,F18,0)))))</f>
        <v>0</v>
      </c>
      <c r="M18" t="b">
        <f>IF(AND('Ersetzen Motoren'!$H$5&lt;A19, 'Ersetzen Motoren'!$H$5&gt;=A18),TRUE)</f>
        <v>0</v>
      </c>
      <c r="N18" s="249">
        <f>IF('Ersetzen Motoren'!$I$5=Ersatz_Motor!$B$1,B18,IF('Ersetzen Motoren'!$I$5=Ersatz_Motor!$C$1,C18,IF('Ersetzen Motoren'!$I$5=Ersatz_Motor!$D$1,D18,IF('Ersetzen Motoren'!$I$5=Ersatz_Motor!$E$1,E18,IF('Ersetzen Motoren'!$I$5=Ersatz_Motor!$F$1,F18,0)))))</f>
        <v>0</v>
      </c>
      <c r="O18" s="248"/>
      <c r="P18" t="b">
        <f>IF(AND('Ersetzen Motoren'!$D$6&lt;A19, 'Ersetzen Motoren'!$D$6&gt;=A18),TRUE)</f>
        <v>0</v>
      </c>
      <c r="Q18">
        <f>IF('Ersetzen Motoren'!$E$6=Ersatz_Motor!$B$1,B18,IF('Ersetzen Motoren'!$E$6=Ersatz_Motor!$C$1,C18,IF('Ersetzen Motoren'!$E$6=Ersatz_Motor!$D$1,D18,IF('Ersetzen Motoren'!$E$6=Ersatz_Motor!$E$1,E18,IF('Ersetzen Motoren'!$E$6=Ersatz_Motor!$F$1,F18,0)))))</f>
        <v>0</v>
      </c>
      <c r="R18" t="b">
        <f>IF(AND('Ersetzen Motoren'!$H$6&lt;A19, 'Ersetzen Motoren'!$H$6&gt;=A18),TRUE)</f>
        <v>0</v>
      </c>
      <c r="S18" s="249">
        <f>IF('Ersetzen Motoren'!$I$6=Ersatz_Motor!$B$1,B18,IF('Ersetzen Motoren'!$I$6=Ersatz_Motor!$C$1,C18,IF('Ersetzen Motoren'!$I$6=Ersatz_Motor!$D$1,D18,IF('Ersetzen Motoren'!$I$6=Ersatz_Motor!$E$1,E18,IF('Ersetzen Motoren'!$I$6=Ersatz_Motor!$F$1,F18,0)))))</f>
        <v>0</v>
      </c>
      <c r="T18" s="248"/>
      <c r="U18" t="b">
        <f>IF(AND('Ersetzen Motoren'!$D$7&lt;A19, 'Ersetzen Motoren'!$D$7&gt;=A18),TRUE)</f>
        <v>0</v>
      </c>
      <c r="V18">
        <f>IF('Ersetzen Motoren'!$E$7=Ersatz_Motor!$B$1,B18,IF('Ersetzen Motoren'!$E$7=Ersatz_Motor!$C$1,C18,IF('Ersetzen Motoren'!$E$7=Ersatz_Motor!$D$1,D18,IF('Ersetzen Motoren'!$E$7=Ersatz_Motor!$E$1,E18,IF('Ersetzen Motoren'!$E$7=Ersatz_Motor!$F$1,F18,0)))))</f>
        <v>0</v>
      </c>
      <c r="W18" t="b">
        <f>IF(AND('Ersetzen Motoren'!$H$7&lt;A19, 'Ersetzen Motoren'!$H$7&gt;=A18),TRUE)</f>
        <v>0</v>
      </c>
      <c r="X18" s="249">
        <f>IF('Ersetzen Motoren'!$I$7=Ersatz_Motor!$B$1,B18,IF('Ersetzen Motoren'!$I$7=Ersatz_Motor!$C$1,C18,IF('Ersetzen Motoren'!$I$7=Ersatz_Motor!$D$1,D18,IF('Ersetzen Motoren'!$I$7=Ersatz_Motor!$E$1,E18,IF('Ersetzen Motoren'!$I$7=Ersatz_Motor!$F$1,F18,0)))))</f>
        <v>0</v>
      </c>
      <c r="Y18" s="248"/>
      <c r="Z18" t="b">
        <f>IF(AND('Ersetzen Motoren'!$D$8&lt;A19, 'Ersetzen Motoren'!$D$8&gt;=A18),TRUE)</f>
        <v>0</v>
      </c>
      <c r="AA18">
        <f>IF('Ersetzen Motoren'!$E$8=Ersatz_Motor!$B$1,B18,IF('Ersetzen Motoren'!$E$8=Ersatz_Motor!$C$1,C18,IF('Ersetzen Motoren'!$E$8=Ersatz_Motor!$D$1,D18,IF('Ersetzen Motoren'!$E$8=Ersatz_Motor!$E$1,E18,IF('Ersetzen Motoren'!$E$8=Ersatz_Motor!$F$1,F18,0)))))</f>
        <v>0</v>
      </c>
      <c r="AB18" t="b">
        <f>IF(AND('Ersetzen Motoren'!$H$8&lt;A19, 'Ersetzen Motoren'!$H$8&gt;=A18),TRUE)</f>
        <v>0</v>
      </c>
      <c r="AC18" s="249">
        <f>IF('Ersetzen Motoren'!$I$8=Ersatz_Motor!$B$1,B18,IF('Ersetzen Motoren'!$I$8=Ersatz_Motor!$C$1,C18,IF('Ersetzen Motoren'!$I$8=Ersatz_Motor!$D$1,D18,IF('Ersetzen Motoren'!$I$8=Ersatz_Motor!$E$1,E18,IF('Ersetzen Motoren'!$I$8=Ersatz_Motor!$F$1,F18,0)))))</f>
        <v>0</v>
      </c>
      <c r="AD18" s="248"/>
      <c r="AE18" t="b">
        <f>IF(AND('Ersetzen Motoren'!$D$9&lt;A19, 'Ersetzen Motoren'!$D$9&gt;=A18),TRUE)</f>
        <v>0</v>
      </c>
      <c r="AF18">
        <f>IF('Ersetzen Motoren'!$E$9=Ersatz_Motor!$B$1,B18,IF('Ersetzen Motoren'!$E$9=Ersatz_Motor!$C$1,C18,IF('Ersetzen Motoren'!$E$9=Ersatz_Motor!$D$1,D18,IF('Ersetzen Motoren'!$E$9=Ersatz_Motor!$E$1,E18,IF('Ersetzen Motoren'!$E$9=Ersatz_Motor!$F$1,F18,0)))))</f>
        <v>0</v>
      </c>
      <c r="AG18" t="b">
        <f>IF(AND('Ersetzen Motoren'!$H$9&lt;A19, 'Ersetzen Motoren'!$H$9&gt;=A18),TRUE)</f>
        <v>0</v>
      </c>
      <c r="AH18" s="249">
        <f>IF('Ersetzen Motoren'!$I$9=Ersatz_Motor!$B$1,B18,IF('Ersetzen Motoren'!$I$9=Ersatz_Motor!$C$1,C18,IF('Ersetzen Motoren'!$I$9=Ersatz_Motor!$D$1,D18,IF('Ersetzen Motoren'!$I$9=Ersatz_Motor!$E$1,E18,IF('Ersetzen Motoren'!$I$9=Ersatz_Motor!$F$1,F18,0)))))</f>
        <v>0</v>
      </c>
    </row>
    <row r="19" spans="1:34">
      <c r="A19" s="149">
        <v>18.5</v>
      </c>
      <c r="B19" s="147">
        <v>87.2</v>
      </c>
      <c r="C19" s="147">
        <v>89.3</v>
      </c>
      <c r="D19" s="147">
        <v>91.2</v>
      </c>
      <c r="E19" s="147">
        <v>92.6</v>
      </c>
      <c r="F19" s="148">
        <v>94.2</v>
      </c>
      <c r="G19" t="b">
        <f>IF(AND(Anmeldung!$D$25&lt;A20, Anmeldung!$D$25&gt;=A19),TRUE)</f>
        <v>0</v>
      </c>
      <c r="H19">
        <f>IF(Anmeldung!$I$25=Ersatz_Motor!$B$1,B19,IF(Anmeldung!$I$25=Ersatz_Motor!$C$1,C19,IF(Anmeldung!$I$25=Ersatz_Motor!$D$1,D19,IF(Anmeldung!$I$25=Ersatz_Motor!$E$1,E19,IF(Anmeldung!$I$25=Ersatz_Motor!$F$1,F19,0)))))</f>
        <v>0</v>
      </c>
      <c r="I19">
        <f>IF(Anmeldung!$I$26=Ersatz_Motor!$B$1,B19,IF(Anmeldung!$I$26=Ersatz_Motor!$C$1,C19,IF(Anmeldung!$I$26=Ersatz_Motor!$D$1,D19,IF(Anmeldung!$I$26=Ersatz_Motor!$E$1,E19,IF(Anmeldung!$I$26=Ersatz_Motor!$F$1,F19,0)))))</f>
        <v>0</v>
      </c>
      <c r="J19" s="248"/>
      <c r="K19" t="b">
        <f>IF(AND('Ersetzen Motoren'!$D$5&lt;A20, 'Ersetzen Motoren'!$D$5&gt;=A19),TRUE)</f>
        <v>0</v>
      </c>
      <c r="L19">
        <f>IF('Ersetzen Motoren'!$E$5=Ersatz_Motor!$B$1,B19,IF('Ersetzen Motoren'!$E$5=Ersatz_Motor!$C$1,C19,IF('Ersetzen Motoren'!$E$5=Ersatz_Motor!$D$1,D19,IF('Ersetzen Motoren'!$E$5=Ersatz_Motor!$E$1,E19,IF('Ersetzen Motoren'!$E$5=Ersatz_Motor!$F$1,F19,0)))))</f>
        <v>0</v>
      </c>
      <c r="M19" t="b">
        <f>IF(AND('Ersetzen Motoren'!$H$5&lt;A20, 'Ersetzen Motoren'!$H$5&gt;=A19),TRUE)</f>
        <v>0</v>
      </c>
      <c r="N19" s="249">
        <f>IF('Ersetzen Motoren'!$I$5=Ersatz_Motor!$B$1,B19,IF('Ersetzen Motoren'!$I$5=Ersatz_Motor!$C$1,C19,IF('Ersetzen Motoren'!$I$5=Ersatz_Motor!$D$1,D19,IF('Ersetzen Motoren'!$I$5=Ersatz_Motor!$E$1,E19,IF('Ersetzen Motoren'!$I$5=Ersatz_Motor!$F$1,F19,0)))))</f>
        <v>0</v>
      </c>
      <c r="O19" s="248"/>
      <c r="P19" t="b">
        <f>IF(AND('Ersetzen Motoren'!$D$6&lt;A20, 'Ersetzen Motoren'!$D$6&gt;=A19),TRUE)</f>
        <v>0</v>
      </c>
      <c r="Q19">
        <f>IF('Ersetzen Motoren'!$E$6=Ersatz_Motor!$B$1,B19,IF('Ersetzen Motoren'!$E$6=Ersatz_Motor!$C$1,C19,IF('Ersetzen Motoren'!$E$6=Ersatz_Motor!$D$1,D19,IF('Ersetzen Motoren'!$E$6=Ersatz_Motor!$E$1,E19,IF('Ersetzen Motoren'!$E$6=Ersatz_Motor!$F$1,F19,0)))))</f>
        <v>0</v>
      </c>
      <c r="R19" t="b">
        <f>IF(AND('Ersetzen Motoren'!$H$6&lt;A20, 'Ersetzen Motoren'!$H$6&gt;=A19),TRUE)</f>
        <v>0</v>
      </c>
      <c r="S19" s="249">
        <f>IF('Ersetzen Motoren'!$I$6=Ersatz_Motor!$B$1,B19,IF('Ersetzen Motoren'!$I$6=Ersatz_Motor!$C$1,C19,IF('Ersetzen Motoren'!$I$6=Ersatz_Motor!$D$1,D19,IF('Ersetzen Motoren'!$I$6=Ersatz_Motor!$E$1,E19,IF('Ersetzen Motoren'!$I$6=Ersatz_Motor!$F$1,F19,0)))))</f>
        <v>0</v>
      </c>
      <c r="T19" s="248"/>
      <c r="U19" t="b">
        <f>IF(AND('Ersetzen Motoren'!$D$7&lt;A20, 'Ersetzen Motoren'!$D$7&gt;=A19),TRUE)</f>
        <v>0</v>
      </c>
      <c r="V19">
        <f>IF('Ersetzen Motoren'!$E$7=Ersatz_Motor!$B$1,B19,IF('Ersetzen Motoren'!$E$7=Ersatz_Motor!$C$1,C19,IF('Ersetzen Motoren'!$E$7=Ersatz_Motor!$D$1,D19,IF('Ersetzen Motoren'!$E$7=Ersatz_Motor!$E$1,E19,IF('Ersetzen Motoren'!$E$7=Ersatz_Motor!$F$1,F19,0)))))</f>
        <v>0</v>
      </c>
      <c r="W19" t="b">
        <f>IF(AND('Ersetzen Motoren'!$H$7&lt;A20, 'Ersetzen Motoren'!$H$7&gt;=A19),TRUE)</f>
        <v>0</v>
      </c>
      <c r="X19" s="249">
        <f>IF('Ersetzen Motoren'!$I$7=Ersatz_Motor!$B$1,B19,IF('Ersetzen Motoren'!$I$7=Ersatz_Motor!$C$1,C19,IF('Ersetzen Motoren'!$I$7=Ersatz_Motor!$D$1,D19,IF('Ersetzen Motoren'!$I$7=Ersatz_Motor!$E$1,E19,IF('Ersetzen Motoren'!$I$7=Ersatz_Motor!$F$1,F19,0)))))</f>
        <v>0</v>
      </c>
      <c r="Y19" s="248"/>
      <c r="Z19" t="b">
        <f>IF(AND('Ersetzen Motoren'!$D$8&lt;A20, 'Ersetzen Motoren'!$D$8&gt;=A19),TRUE)</f>
        <v>0</v>
      </c>
      <c r="AA19">
        <f>IF('Ersetzen Motoren'!$E$8=Ersatz_Motor!$B$1,B19,IF('Ersetzen Motoren'!$E$8=Ersatz_Motor!$C$1,C19,IF('Ersetzen Motoren'!$E$8=Ersatz_Motor!$D$1,D19,IF('Ersetzen Motoren'!$E$8=Ersatz_Motor!$E$1,E19,IF('Ersetzen Motoren'!$E$8=Ersatz_Motor!$F$1,F19,0)))))</f>
        <v>0</v>
      </c>
      <c r="AB19" t="b">
        <f>IF(AND('Ersetzen Motoren'!$H$8&lt;A20, 'Ersetzen Motoren'!$H$8&gt;=A19),TRUE)</f>
        <v>0</v>
      </c>
      <c r="AC19" s="249">
        <f>IF('Ersetzen Motoren'!$I$8=Ersatz_Motor!$B$1,B19,IF('Ersetzen Motoren'!$I$8=Ersatz_Motor!$C$1,C19,IF('Ersetzen Motoren'!$I$8=Ersatz_Motor!$D$1,D19,IF('Ersetzen Motoren'!$I$8=Ersatz_Motor!$E$1,E19,IF('Ersetzen Motoren'!$I$8=Ersatz_Motor!$F$1,F19,0)))))</f>
        <v>0</v>
      </c>
      <c r="AD19" s="248"/>
      <c r="AE19" t="b">
        <f>IF(AND('Ersetzen Motoren'!$D$9&lt;A20, 'Ersetzen Motoren'!$D$9&gt;=A19),TRUE)</f>
        <v>0</v>
      </c>
      <c r="AF19">
        <f>IF('Ersetzen Motoren'!$E$9=Ersatz_Motor!$B$1,B19,IF('Ersetzen Motoren'!$E$9=Ersatz_Motor!$C$1,C19,IF('Ersetzen Motoren'!$E$9=Ersatz_Motor!$D$1,D19,IF('Ersetzen Motoren'!$E$9=Ersatz_Motor!$E$1,E19,IF('Ersetzen Motoren'!$E$9=Ersatz_Motor!$F$1,F19,0)))))</f>
        <v>0</v>
      </c>
      <c r="AG19" t="b">
        <f>IF(AND('Ersetzen Motoren'!$H$9&lt;A20, 'Ersetzen Motoren'!$H$9&gt;=A19),TRUE)</f>
        <v>0</v>
      </c>
      <c r="AH19" s="249">
        <f>IF('Ersetzen Motoren'!$I$9=Ersatz_Motor!$B$1,B19,IF('Ersetzen Motoren'!$I$9=Ersatz_Motor!$C$1,C19,IF('Ersetzen Motoren'!$I$9=Ersatz_Motor!$D$1,D19,IF('Ersetzen Motoren'!$I$9=Ersatz_Motor!$E$1,E19,IF('Ersetzen Motoren'!$I$9=Ersatz_Motor!$F$1,F19,0)))))</f>
        <v>0</v>
      </c>
    </row>
    <row r="20" spans="1:34">
      <c r="A20" s="150">
        <v>22</v>
      </c>
      <c r="B20" s="147">
        <v>87.9</v>
      </c>
      <c r="C20" s="147">
        <v>89.9</v>
      </c>
      <c r="D20" s="147">
        <v>91.6</v>
      </c>
      <c r="E20" s="147">
        <v>93</v>
      </c>
      <c r="F20" s="148">
        <v>94.5</v>
      </c>
      <c r="G20" t="b">
        <f>IF(AND(Anmeldung!$D$25&lt;A21, Anmeldung!$D$25&gt;=A20),TRUE)</f>
        <v>0</v>
      </c>
      <c r="H20">
        <f>IF(Anmeldung!$I$25=Ersatz_Motor!$B$1,B20,IF(Anmeldung!$I$25=Ersatz_Motor!$C$1,C20,IF(Anmeldung!$I$25=Ersatz_Motor!$D$1,D20,IF(Anmeldung!$I$25=Ersatz_Motor!$E$1,E20,IF(Anmeldung!$I$25=Ersatz_Motor!$F$1,F20,0)))))</f>
        <v>0</v>
      </c>
      <c r="I20">
        <f>IF(Anmeldung!$I$26=Ersatz_Motor!$B$1,B20,IF(Anmeldung!$I$26=Ersatz_Motor!$C$1,C20,IF(Anmeldung!$I$26=Ersatz_Motor!$D$1,D20,IF(Anmeldung!$I$26=Ersatz_Motor!$E$1,E20,IF(Anmeldung!$I$26=Ersatz_Motor!$F$1,F20,0)))))</f>
        <v>0</v>
      </c>
      <c r="J20" s="248"/>
      <c r="K20" t="b">
        <f>IF(AND('Ersetzen Motoren'!$D$5&lt;A21, 'Ersetzen Motoren'!$D$5&gt;=A20),TRUE)</f>
        <v>0</v>
      </c>
      <c r="L20">
        <f>IF('Ersetzen Motoren'!$E$5=Ersatz_Motor!$B$1,B20,IF('Ersetzen Motoren'!$E$5=Ersatz_Motor!$C$1,C20,IF('Ersetzen Motoren'!$E$5=Ersatz_Motor!$D$1,D20,IF('Ersetzen Motoren'!$E$5=Ersatz_Motor!$E$1,E20,IF('Ersetzen Motoren'!$E$5=Ersatz_Motor!$F$1,F20,0)))))</f>
        <v>0</v>
      </c>
      <c r="M20" t="b">
        <f>IF(AND('Ersetzen Motoren'!$H$5&lt;A21, 'Ersetzen Motoren'!$H$5&gt;=A20),TRUE)</f>
        <v>0</v>
      </c>
      <c r="N20" s="249">
        <f>IF('Ersetzen Motoren'!$I$5=Ersatz_Motor!$B$1,B20,IF('Ersetzen Motoren'!$I$5=Ersatz_Motor!$C$1,C20,IF('Ersetzen Motoren'!$I$5=Ersatz_Motor!$D$1,D20,IF('Ersetzen Motoren'!$I$5=Ersatz_Motor!$E$1,E20,IF('Ersetzen Motoren'!$I$5=Ersatz_Motor!$F$1,F20,0)))))</f>
        <v>0</v>
      </c>
      <c r="O20" s="248"/>
      <c r="P20" t="b">
        <f>IF(AND('Ersetzen Motoren'!$D$6&lt;A21, 'Ersetzen Motoren'!$D$6&gt;=A20),TRUE)</f>
        <v>0</v>
      </c>
      <c r="Q20">
        <f>IF('Ersetzen Motoren'!$E$6=Ersatz_Motor!$B$1,B20,IF('Ersetzen Motoren'!$E$6=Ersatz_Motor!$C$1,C20,IF('Ersetzen Motoren'!$E$6=Ersatz_Motor!$D$1,D20,IF('Ersetzen Motoren'!$E$6=Ersatz_Motor!$E$1,E20,IF('Ersetzen Motoren'!$E$6=Ersatz_Motor!$F$1,F20,0)))))</f>
        <v>0</v>
      </c>
      <c r="R20" t="b">
        <f>IF(AND('Ersetzen Motoren'!$H$6&lt;A21, 'Ersetzen Motoren'!$H$6&gt;=A20),TRUE)</f>
        <v>0</v>
      </c>
      <c r="S20" s="249">
        <f>IF('Ersetzen Motoren'!$I$6=Ersatz_Motor!$B$1,B20,IF('Ersetzen Motoren'!$I$6=Ersatz_Motor!$C$1,C20,IF('Ersetzen Motoren'!$I$6=Ersatz_Motor!$D$1,D20,IF('Ersetzen Motoren'!$I$6=Ersatz_Motor!$E$1,E20,IF('Ersetzen Motoren'!$I$6=Ersatz_Motor!$F$1,F20,0)))))</f>
        <v>0</v>
      </c>
      <c r="T20" s="248"/>
      <c r="U20" t="b">
        <f>IF(AND('Ersetzen Motoren'!$D$7&lt;A21, 'Ersetzen Motoren'!$D$7&gt;=A20),TRUE)</f>
        <v>0</v>
      </c>
      <c r="V20">
        <f>IF('Ersetzen Motoren'!$E$7=Ersatz_Motor!$B$1,B20,IF('Ersetzen Motoren'!$E$7=Ersatz_Motor!$C$1,C20,IF('Ersetzen Motoren'!$E$7=Ersatz_Motor!$D$1,D20,IF('Ersetzen Motoren'!$E$7=Ersatz_Motor!$E$1,E20,IF('Ersetzen Motoren'!$E$7=Ersatz_Motor!$F$1,F20,0)))))</f>
        <v>0</v>
      </c>
      <c r="W20" t="b">
        <f>IF(AND('Ersetzen Motoren'!$H$7&lt;A21, 'Ersetzen Motoren'!$H$7&gt;=A20),TRUE)</f>
        <v>0</v>
      </c>
      <c r="X20" s="249">
        <f>IF('Ersetzen Motoren'!$I$7=Ersatz_Motor!$B$1,B20,IF('Ersetzen Motoren'!$I$7=Ersatz_Motor!$C$1,C20,IF('Ersetzen Motoren'!$I$7=Ersatz_Motor!$D$1,D20,IF('Ersetzen Motoren'!$I$7=Ersatz_Motor!$E$1,E20,IF('Ersetzen Motoren'!$I$7=Ersatz_Motor!$F$1,F20,0)))))</f>
        <v>0</v>
      </c>
      <c r="Y20" s="248"/>
      <c r="Z20" t="b">
        <f>IF(AND('Ersetzen Motoren'!$D$8&lt;A21, 'Ersetzen Motoren'!$D$8&gt;=A20),TRUE)</f>
        <v>0</v>
      </c>
      <c r="AA20">
        <f>IF('Ersetzen Motoren'!$E$8=Ersatz_Motor!$B$1,B20,IF('Ersetzen Motoren'!$E$8=Ersatz_Motor!$C$1,C20,IF('Ersetzen Motoren'!$E$8=Ersatz_Motor!$D$1,D20,IF('Ersetzen Motoren'!$E$8=Ersatz_Motor!$E$1,E20,IF('Ersetzen Motoren'!$E$8=Ersatz_Motor!$F$1,F20,0)))))</f>
        <v>0</v>
      </c>
      <c r="AB20" t="b">
        <f>IF(AND('Ersetzen Motoren'!$H$8&lt;A21, 'Ersetzen Motoren'!$H$8&gt;=A20),TRUE)</f>
        <v>0</v>
      </c>
      <c r="AC20" s="249">
        <f>IF('Ersetzen Motoren'!$I$8=Ersatz_Motor!$B$1,B20,IF('Ersetzen Motoren'!$I$8=Ersatz_Motor!$C$1,C20,IF('Ersetzen Motoren'!$I$8=Ersatz_Motor!$D$1,D20,IF('Ersetzen Motoren'!$I$8=Ersatz_Motor!$E$1,E20,IF('Ersetzen Motoren'!$I$8=Ersatz_Motor!$F$1,F20,0)))))</f>
        <v>0</v>
      </c>
      <c r="AD20" s="248"/>
      <c r="AE20" t="b">
        <f>IF(AND('Ersetzen Motoren'!$D$9&lt;A21, 'Ersetzen Motoren'!$D$9&gt;=A20),TRUE)</f>
        <v>0</v>
      </c>
      <c r="AF20">
        <f>IF('Ersetzen Motoren'!$E$9=Ersatz_Motor!$B$1,B20,IF('Ersetzen Motoren'!$E$9=Ersatz_Motor!$C$1,C20,IF('Ersetzen Motoren'!$E$9=Ersatz_Motor!$D$1,D20,IF('Ersetzen Motoren'!$E$9=Ersatz_Motor!$E$1,E20,IF('Ersetzen Motoren'!$E$9=Ersatz_Motor!$F$1,F20,0)))))</f>
        <v>0</v>
      </c>
      <c r="AG20" t="b">
        <f>IF(AND('Ersetzen Motoren'!$H$9&lt;A21, 'Ersetzen Motoren'!$H$9&gt;=A20),TRUE)</f>
        <v>0</v>
      </c>
      <c r="AH20" s="249">
        <f>IF('Ersetzen Motoren'!$I$9=Ersatz_Motor!$B$1,B20,IF('Ersetzen Motoren'!$I$9=Ersatz_Motor!$C$1,C20,IF('Ersetzen Motoren'!$I$9=Ersatz_Motor!$D$1,D20,IF('Ersetzen Motoren'!$I$9=Ersatz_Motor!$E$1,E20,IF('Ersetzen Motoren'!$I$9=Ersatz_Motor!$F$1,F20,0)))))</f>
        <v>0</v>
      </c>
    </row>
    <row r="21" spans="1:34">
      <c r="A21" s="150">
        <v>30</v>
      </c>
      <c r="B21" s="147">
        <v>88.8</v>
      </c>
      <c r="C21" s="147">
        <v>90.7</v>
      </c>
      <c r="D21" s="147">
        <v>92.3</v>
      </c>
      <c r="E21" s="147">
        <v>93.6</v>
      </c>
      <c r="F21" s="148">
        <v>94.9</v>
      </c>
      <c r="G21" t="b">
        <f>IF(AND(Anmeldung!$D$25&lt;A22, Anmeldung!$D$25&gt;=A21),TRUE)</f>
        <v>0</v>
      </c>
      <c r="H21">
        <f>IF(Anmeldung!$I$25=Ersatz_Motor!$B$1,B21,IF(Anmeldung!$I$25=Ersatz_Motor!$C$1,C21,IF(Anmeldung!$I$25=Ersatz_Motor!$D$1,D21,IF(Anmeldung!$I$25=Ersatz_Motor!$E$1,E21,IF(Anmeldung!$I$25=Ersatz_Motor!$F$1,F21,0)))))</f>
        <v>0</v>
      </c>
      <c r="I21">
        <f>IF(Anmeldung!$I$26=Ersatz_Motor!$B$1,B21,IF(Anmeldung!$I$26=Ersatz_Motor!$C$1,C21,IF(Anmeldung!$I$26=Ersatz_Motor!$D$1,D21,IF(Anmeldung!$I$26=Ersatz_Motor!$E$1,E21,IF(Anmeldung!$I$26=Ersatz_Motor!$F$1,F21,0)))))</f>
        <v>0</v>
      </c>
      <c r="J21" s="248"/>
      <c r="K21" t="b">
        <f>IF(AND('Ersetzen Motoren'!$D$5&lt;A22, 'Ersetzen Motoren'!$D$5&gt;=A21),TRUE)</f>
        <v>0</v>
      </c>
      <c r="L21">
        <f>IF('Ersetzen Motoren'!$E$5=Ersatz_Motor!$B$1,B21,IF('Ersetzen Motoren'!$E$5=Ersatz_Motor!$C$1,C21,IF('Ersetzen Motoren'!$E$5=Ersatz_Motor!$D$1,D21,IF('Ersetzen Motoren'!$E$5=Ersatz_Motor!$E$1,E21,IF('Ersetzen Motoren'!$E$5=Ersatz_Motor!$F$1,F21,0)))))</f>
        <v>0</v>
      </c>
      <c r="M21" t="b">
        <f>IF(AND('Ersetzen Motoren'!$H$5&lt;A22, 'Ersetzen Motoren'!$H$5&gt;=A21),TRUE)</f>
        <v>0</v>
      </c>
      <c r="N21" s="249">
        <f>IF('Ersetzen Motoren'!$I$5=Ersatz_Motor!$B$1,B21,IF('Ersetzen Motoren'!$I$5=Ersatz_Motor!$C$1,C21,IF('Ersetzen Motoren'!$I$5=Ersatz_Motor!$D$1,D21,IF('Ersetzen Motoren'!$I$5=Ersatz_Motor!$E$1,E21,IF('Ersetzen Motoren'!$I$5=Ersatz_Motor!$F$1,F21,0)))))</f>
        <v>0</v>
      </c>
      <c r="O21" s="248"/>
      <c r="P21" t="b">
        <f>IF(AND('Ersetzen Motoren'!$D$6&lt;A22, 'Ersetzen Motoren'!$D$6&gt;=A21),TRUE)</f>
        <v>0</v>
      </c>
      <c r="Q21">
        <f>IF('Ersetzen Motoren'!$E$6=Ersatz_Motor!$B$1,B21,IF('Ersetzen Motoren'!$E$6=Ersatz_Motor!$C$1,C21,IF('Ersetzen Motoren'!$E$6=Ersatz_Motor!$D$1,D21,IF('Ersetzen Motoren'!$E$6=Ersatz_Motor!$E$1,E21,IF('Ersetzen Motoren'!$E$6=Ersatz_Motor!$F$1,F21,0)))))</f>
        <v>0</v>
      </c>
      <c r="R21" t="b">
        <f>IF(AND('Ersetzen Motoren'!$H$6&lt;A22, 'Ersetzen Motoren'!$H$6&gt;=A21),TRUE)</f>
        <v>0</v>
      </c>
      <c r="S21" s="249">
        <f>IF('Ersetzen Motoren'!$I$6=Ersatz_Motor!$B$1,B21,IF('Ersetzen Motoren'!$I$6=Ersatz_Motor!$C$1,C21,IF('Ersetzen Motoren'!$I$6=Ersatz_Motor!$D$1,D21,IF('Ersetzen Motoren'!$I$6=Ersatz_Motor!$E$1,E21,IF('Ersetzen Motoren'!$I$6=Ersatz_Motor!$F$1,F21,0)))))</f>
        <v>0</v>
      </c>
      <c r="T21" s="248"/>
      <c r="U21" t="b">
        <f>IF(AND('Ersetzen Motoren'!$D$7&lt;A22, 'Ersetzen Motoren'!$D$7&gt;=A21),TRUE)</f>
        <v>0</v>
      </c>
      <c r="V21">
        <f>IF('Ersetzen Motoren'!$E$7=Ersatz_Motor!$B$1,B21,IF('Ersetzen Motoren'!$E$7=Ersatz_Motor!$C$1,C21,IF('Ersetzen Motoren'!$E$7=Ersatz_Motor!$D$1,D21,IF('Ersetzen Motoren'!$E$7=Ersatz_Motor!$E$1,E21,IF('Ersetzen Motoren'!$E$7=Ersatz_Motor!$F$1,F21,0)))))</f>
        <v>0</v>
      </c>
      <c r="W21" t="b">
        <f>IF(AND('Ersetzen Motoren'!$H$7&lt;A22, 'Ersetzen Motoren'!$H$7&gt;=A21),TRUE)</f>
        <v>0</v>
      </c>
      <c r="X21" s="249">
        <f>IF('Ersetzen Motoren'!$I$7=Ersatz_Motor!$B$1,B21,IF('Ersetzen Motoren'!$I$7=Ersatz_Motor!$C$1,C21,IF('Ersetzen Motoren'!$I$7=Ersatz_Motor!$D$1,D21,IF('Ersetzen Motoren'!$I$7=Ersatz_Motor!$E$1,E21,IF('Ersetzen Motoren'!$I$7=Ersatz_Motor!$F$1,F21,0)))))</f>
        <v>0</v>
      </c>
      <c r="Y21" s="248"/>
      <c r="Z21" t="b">
        <f>IF(AND('Ersetzen Motoren'!$D$8&lt;A22, 'Ersetzen Motoren'!$D$8&gt;=A21),TRUE)</f>
        <v>0</v>
      </c>
      <c r="AA21">
        <f>IF('Ersetzen Motoren'!$E$8=Ersatz_Motor!$B$1,B21,IF('Ersetzen Motoren'!$E$8=Ersatz_Motor!$C$1,C21,IF('Ersetzen Motoren'!$E$8=Ersatz_Motor!$D$1,D21,IF('Ersetzen Motoren'!$E$8=Ersatz_Motor!$E$1,E21,IF('Ersetzen Motoren'!$E$8=Ersatz_Motor!$F$1,F21,0)))))</f>
        <v>0</v>
      </c>
      <c r="AB21" t="b">
        <f>IF(AND('Ersetzen Motoren'!$H$8&lt;A22, 'Ersetzen Motoren'!$H$8&gt;=A21),TRUE)</f>
        <v>0</v>
      </c>
      <c r="AC21" s="249">
        <f>IF('Ersetzen Motoren'!$I$8=Ersatz_Motor!$B$1,B21,IF('Ersetzen Motoren'!$I$8=Ersatz_Motor!$C$1,C21,IF('Ersetzen Motoren'!$I$8=Ersatz_Motor!$D$1,D21,IF('Ersetzen Motoren'!$I$8=Ersatz_Motor!$E$1,E21,IF('Ersetzen Motoren'!$I$8=Ersatz_Motor!$F$1,F21,0)))))</f>
        <v>0</v>
      </c>
      <c r="AD21" s="248"/>
      <c r="AE21" t="b">
        <f>IF(AND('Ersetzen Motoren'!$D$9&lt;A22, 'Ersetzen Motoren'!$D$9&gt;=A21),TRUE)</f>
        <v>0</v>
      </c>
      <c r="AF21">
        <f>IF('Ersetzen Motoren'!$E$9=Ersatz_Motor!$B$1,B21,IF('Ersetzen Motoren'!$E$9=Ersatz_Motor!$C$1,C21,IF('Ersetzen Motoren'!$E$9=Ersatz_Motor!$D$1,D21,IF('Ersetzen Motoren'!$E$9=Ersatz_Motor!$E$1,E21,IF('Ersetzen Motoren'!$E$9=Ersatz_Motor!$F$1,F21,0)))))</f>
        <v>0</v>
      </c>
      <c r="AG21" t="b">
        <f>IF(AND('Ersetzen Motoren'!$H$9&lt;A22, 'Ersetzen Motoren'!$H$9&gt;=A21),TRUE)</f>
        <v>0</v>
      </c>
      <c r="AH21" s="249">
        <f>IF('Ersetzen Motoren'!$I$9=Ersatz_Motor!$B$1,B21,IF('Ersetzen Motoren'!$I$9=Ersatz_Motor!$C$1,C21,IF('Ersetzen Motoren'!$I$9=Ersatz_Motor!$D$1,D21,IF('Ersetzen Motoren'!$I$9=Ersatz_Motor!$E$1,E21,IF('Ersetzen Motoren'!$I$9=Ersatz_Motor!$F$1,F21,0)))))</f>
        <v>0</v>
      </c>
    </row>
    <row r="22" spans="1:34">
      <c r="A22" s="150">
        <v>37</v>
      </c>
      <c r="B22" s="147">
        <v>89.4</v>
      </c>
      <c r="C22" s="147">
        <v>91.2</v>
      </c>
      <c r="D22" s="147">
        <v>92.7</v>
      </c>
      <c r="E22" s="147">
        <v>93.9</v>
      </c>
      <c r="F22" s="148">
        <v>95.2</v>
      </c>
      <c r="G22" t="b">
        <f>IF(AND(Anmeldung!$D$25&lt;A23, Anmeldung!$D$25&gt;=A22),TRUE)</f>
        <v>0</v>
      </c>
      <c r="H22">
        <f>IF(Anmeldung!$I$25=Ersatz_Motor!$B$1,B22,IF(Anmeldung!$I$25=Ersatz_Motor!$C$1,C22,IF(Anmeldung!$I$25=Ersatz_Motor!$D$1,D22,IF(Anmeldung!$I$25=Ersatz_Motor!$E$1,E22,IF(Anmeldung!$I$25=Ersatz_Motor!$F$1,F22,0)))))</f>
        <v>0</v>
      </c>
      <c r="I22">
        <f>IF(Anmeldung!$I$26=Ersatz_Motor!$B$1,B22,IF(Anmeldung!$I$26=Ersatz_Motor!$C$1,C22,IF(Anmeldung!$I$26=Ersatz_Motor!$D$1,D22,IF(Anmeldung!$I$26=Ersatz_Motor!$E$1,E22,IF(Anmeldung!$I$26=Ersatz_Motor!$F$1,F22,0)))))</f>
        <v>0</v>
      </c>
      <c r="J22" s="248"/>
      <c r="K22" t="b">
        <f>IF(AND('Ersetzen Motoren'!$D$5&lt;A23, 'Ersetzen Motoren'!$D$5&gt;=A22),TRUE)</f>
        <v>0</v>
      </c>
      <c r="L22">
        <f>IF('Ersetzen Motoren'!$E$5=Ersatz_Motor!$B$1,B22,IF('Ersetzen Motoren'!$E$5=Ersatz_Motor!$C$1,C22,IF('Ersetzen Motoren'!$E$5=Ersatz_Motor!$D$1,D22,IF('Ersetzen Motoren'!$E$5=Ersatz_Motor!$E$1,E22,IF('Ersetzen Motoren'!$E$5=Ersatz_Motor!$F$1,F22,0)))))</f>
        <v>0</v>
      </c>
      <c r="M22" t="b">
        <f>IF(AND('Ersetzen Motoren'!$H$5&lt;A23, 'Ersetzen Motoren'!$H$5&gt;=A22),TRUE)</f>
        <v>0</v>
      </c>
      <c r="N22" s="249">
        <f>IF('Ersetzen Motoren'!$I$5=Ersatz_Motor!$B$1,B22,IF('Ersetzen Motoren'!$I$5=Ersatz_Motor!$C$1,C22,IF('Ersetzen Motoren'!$I$5=Ersatz_Motor!$D$1,D22,IF('Ersetzen Motoren'!$I$5=Ersatz_Motor!$E$1,E22,IF('Ersetzen Motoren'!$I$5=Ersatz_Motor!$F$1,F22,0)))))</f>
        <v>0</v>
      </c>
      <c r="O22" s="248"/>
      <c r="P22" t="b">
        <f>IF(AND('Ersetzen Motoren'!$D$6&lt;A23, 'Ersetzen Motoren'!$D$6&gt;=A22),TRUE)</f>
        <v>0</v>
      </c>
      <c r="Q22">
        <f>IF('Ersetzen Motoren'!$E$6=Ersatz_Motor!$B$1,B22,IF('Ersetzen Motoren'!$E$6=Ersatz_Motor!$C$1,C22,IF('Ersetzen Motoren'!$E$6=Ersatz_Motor!$D$1,D22,IF('Ersetzen Motoren'!$E$6=Ersatz_Motor!$E$1,E22,IF('Ersetzen Motoren'!$E$6=Ersatz_Motor!$F$1,F22,0)))))</f>
        <v>0</v>
      </c>
      <c r="R22" t="b">
        <f>IF(AND('Ersetzen Motoren'!$H$6&lt;A23, 'Ersetzen Motoren'!$H$6&gt;=A22),TRUE)</f>
        <v>0</v>
      </c>
      <c r="S22" s="249">
        <f>IF('Ersetzen Motoren'!$I$6=Ersatz_Motor!$B$1,B22,IF('Ersetzen Motoren'!$I$6=Ersatz_Motor!$C$1,C22,IF('Ersetzen Motoren'!$I$6=Ersatz_Motor!$D$1,D22,IF('Ersetzen Motoren'!$I$6=Ersatz_Motor!$E$1,E22,IF('Ersetzen Motoren'!$I$6=Ersatz_Motor!$F$1,F22,0)))))</f>
        <v>0</v>
      </c>
      <c r="T22" s="248"/>
      <c r="U22" t="b">
        <f>IF(AND('Ersetzen Motoren'!$D$7&lt;A23, 'Ersetzen Motoren'!$D$7&gt;=A22),TRUE)</f>
        <v>0</v>
      </c>
      <c r="V22">
        <f>IF('Ersetzen Motoren'!$E$7=Ersatz_Motor!$B$1,B22,IF('Ersetzen Motoren'!$E$7=Ersatz_Motor!$C$1,C22,IF('Ersetzen Motoren'!$E$7=Ersatz_Motor!$D$1,D22,IF('Ersetzen Motoren'!$E$7=Ersatz_Motor!$E$1,E22,IF('Ersetzen Motoren'!$E$7=Ersatz_Motor!$F$1,F22,0)))))</f>
        <v>0</v>
      </c>
      <c r="W22" t="b">
        <f>IF(AND('Ersetzen Motoren'!$H$7&lt;A23, 'Ersetzen Motoren'!$H$7&gt;=A22),TRUE)</f>
        <v>0</v>
      </c>
      <c r="X22" s="249">
        <f>IF('Ersetzen Motoren'!$I$7=Ersatz_Motor!$B$1,B22,IF('Ersetzen Motoren'!$I$7=Ersatz_Motor!$C$1,C22,IF('Ersetzen Motoren'!$I$7=Ersatz_Motor!$D$1,D22,IF('Ersetzen Motoren'!$I$7=Ersatz_Motor!$E$1,E22,IF('Ersetzen Motoren'!$I$7=Ersatz_Motor!$F$1,F22,0)))))</f>
        <v>0</v>
      </c>
      <c r="Y22" s="248"/>
      <c r="Z22" t="b">
        <f>IF(AND('Ersetzen Motoren'!$D$8&lt;A23, 'Ersetzen Motoren'!$D$8&gt;=A22),TRUE)</f>
        <v>0</v>
      </c>
      <c r="AA22">
        <f>IF('Ersetzen Motoren'!$E$8=Ersatz_Motor!$B$1,B22,IF('Ersetzen Motoren'!$E$8=Ersatz_Motor!$C$1,C22,IF('Ersetzen Motoren'!$E$8=Ersatz_Motor!$D$1,D22,IF('Ersetzen Motoren'!$E$8=Ersatz_Motor!$E$1,E22,IF('Ersetzen Motoren'!$E$8=Ersatz_Motor!$F$1,F22,0)))))</f>
        <v>0</v>
      </c>
      <c r="AB22" t="b">
        <f>IF(AND('Ersetzen Motoren'!$H$8&lt;A23, 'Ersetzen Motoren'!$H$8&gt;=A22),TRUE)</f>
        <v>0</v>
      </c>
      <c r="AC22" s="249">
        <f>IF('Ersetzen Motoren'!$I$8=Ersatz_Motor!$B$1,B22,IF('Ersetzen Motoren'!$I$8=Ersatz_Motor!$C$1,C22,IF('Ersetzen Motoren'!$I$8=Ersatz_Motor!$D$1,D22,IF('Ersetzen Motoren'!$I$8=Ersatz_Motor!$E$1,E22,IF('Ersetzen Motoren'!$I$8=Ersatz_Motor!$F$1,F22,0)))))</f>
        <v>0</v>
      </c>
      <c r="AD22" s="248"/>
      <c r="AE22" t="b">
        <f>IF(AND('Ersetzen Motoren'!$D$9&lt;A23, 'Ersetzen Motoren'!$D$9&gt;=A22),TRUE)</f>
        <v>0</v>
      </c>
      <c r="AF22">
        <f>IF('Ersetzen Motoren'!$E$9=Ersatz_Motor!$B$1,B22,IF('Ersetzen Motoren'!$E$9=Ersatz_Motor!$C$1,C22,IF('Ersetzen Motoren'!$E$9=Ersatz_Motor!$D$1,D22,IF('Ersetzen Motoren'!$E$9=Ersatz_Motor!$E$1,E22,IF('Ersetzen Motoren'!$E$9=Ersatz_Motor!$F$1,F22,0)))))</f>
        <v>0</v>
      </c>
      <c r="AG22" t="b">
        <f>IF(AND('Ersetzen Motoren'!$H$9&lt;A23, 'Ersetzen Motoren'!$H$9&gt;=A22),TRUE)</f>
        <v>0</v>
      </c>
      <c r="AH22" s="249">
        <f>IF('Ersetzen Motoren'!$I$9=Ersatz_Motor!$B$1,B22,IF('Ersetzen Motoren'!$I$9=Ersatz_Motor!$C$1,C22,IF('Ersetzen Motoren'!$I$9=Ersatz_Motor!$D$1,D22,IF('Ersetzen Motoren'!$I$9=Ersatz_Motor!$E$1,E22,IF('Ersetzen Motoren'!$I$9=Ersatz_Motor!$F$1,F22,0)))))</f>
        <v>0</v>
      </c>
    </row>
    <row r="23" spans="1:34">
      <c r="A23" s="150">
        <v>45</v>
      </c>
      <c r="B23" s="147">
        <v>90</v>
      </c>
      <c r="C23" s="147">
        <v>91.7</v>
      </c>
      <c r="D23" s="147">
        <v>93.1</v>
      </c>
      <c r="E23" s="147">
        <v>94.2</v>
      </c>
      <c r="F23" s="148">
        <v>95.4</v>
      </c>
      <c r="G23" t="b">
        <f>IF(AND(Anmeldung!$D$25&lt;A24, Anmeldung!$D$25&gt;=A23),TRUE)</f>
        <v>0</v>
      </c>
      <c r="H23">
        <f>IF(Anmeldung!$I$25=Ersatz_Motor!$B$1,B23,IF(Anmeldung!$I$25=Ersatz_Motor!$C$1,C23,IF(Anmeldung!$I$25=Ersatz_Motor!$D$1,D23,IF(Anmeldung!$I$25=Ersatz_Motor!$E$1,E23,IF(Anmeldung!$I$25=Ersatz_Motor!$F$1,F23,0)))))</f>
        <v>0</v>
      </c>
      <c r="I23">
        <f>IF(Anmeldung!$I$26=Ersatz_Motor!$B$1,B23,IF(Anmeldung!$I$26=Ersatz_Motor!$C$1,C23,IF(Anmeldung!$I$26=Ersatz_Motor!$D$1,D23,IF(Anmeldung!$I$26=Ersatz_Motor!$E$1,E23,IF(Anmeldung!$I$26=Ersatz_Motor!$F$1,F23,0)))))</f>
        <v>0</v>
      </c>
      <c r="J23" s="248"/>
      <c r="K23" t="b">
        <f>IF(AND('Ersetzen Motoren'!$D$5&lt;A24, 'Ersetzen Motoren'!$D$5&gt;=A23),TRUE)</f>
        <v>0</v>
      </c>
      <c r="L23">
        <f>IF('Ersetzen Motoren'!$E$5=Ersatz_Motor!$B$1,B23,IF('Ersetzen Motoren'!$E$5=Ersatz_Motor!$C$1,C23,IF('Ersetzen Motoren'!$E$5=Ersatz_Motor!$D$1,D23,IF('Ersetzen Motoren'!$E$5=Ersatz_Motor!$E$1,E23,IF('Ersetzen Motoren'!$E$5=Ersatz_Motor!$F$1,F23,0)))))</f>
        <v>0</v>
      </c>
      <c r="M23" t="b">
        <f>IF(AND('Ersetzen Motoren'!$H$5&lt;A24, 'Ersetzen Motoren'!$H$5&gt;=A23),TRUE)</f>
        <v>0</v>
      </c>
      <c r="N23" s="249">
        <f>IF('Ersetzen Motoren'!$I$5=Ersatz_Motor!$B$1,B23,IF('Ersetzen Motoren'!$I$5=Ersatz_Motor!$C$1,C23,IF('Ersetzen Motoren'!$I$5=Ersatz_Motor!$D$1,D23,IF('Ersetzen Motoren'!$I$5=Ersatz_Motor!$E$1,E23,IF('Ersetzen Motoren'!$I$5=Ersatz_Motor!$F$1,F23,0)))))</f>
        <v>0</v>
      </c>
      <c r="O23" s="248"/>
      <c r="P23" t="b">
        <f>IF(AND('Ersetzen Motoren'!$D$6&lt;A24, 'Ersetzen Motoren'!$D$6&gt;=A23),TRUE)</f>
        <v>0</v>
      </c>
      <c r="Q23">
        <f>IF('Ersetzen Motoren'!$E$6=Ersatz_Motor!$B$1,B23,IF('Ersetzen Motoren'!$E$6=Ersatz_Motor!$C$1,C23,IF('Ersetzen Motoren'!$E$6=Ersatz_Motor!$D$1,D23,IF('Ersetzen Motoren'!$E$6=Ersatz_Motor!$E$1,E23,IF('Ersetzen Motoren'!$E$6=Ersatz_Motor!$F$1,F23,0)))))</f>
        <v>0</v>
      </c>
      <c r="R23" t="b">
        <f>IF(AND('Ersetzen Motoren'!$H$6&lt;A24, 'Ersetzen Motoren'!$H$6&gt;=A23),TRUE)</f>
        <v>0</v>
      </c>
      <c r="S23" s="249">
        <f>IF('Ersetzen Motoren'!$I$6=Ersatz_Motor!$B$1,B23,IF('Ersetzen Motoren'!$I$6=Ersatz_Motor!$C$1,C23,IF('Ersetzen Motoren'!$I$6=Ersatz_Motor!$D$1,D23,IF('Ersetzen Motoren'!$I$6=Ersatz_Motor!$E$1,E23,IF('Ersetzen Motoren'!$I$6=Ersatz_Motor!$F$1,F23,0)))))</f>
        <v>0</v>
      </c>
      <c r="T23" s="248"/>
      <c r="U23" t="b">
        <f>IF(AND('Ersetzen Motoren'!$D$7&lt;A24, 'Ersetzen Motoren'!$D$7&gt;=A23),TRUE)</f>
        <v>0</v>
      </c>
      <c r="V23">
        <f>IF('Ersetzen Motoren'!$E$7=Ersatz_Motor!$B$1,B23,IF('Ersetzen Motoren'!$E$7=Ersatz_Motor!$C$1,C23,IF('Ersetzen Motoren'!$E$7=Ersatz_Motor!$D$1,D23,IF('Ersetzen Motoren'!$E$7=Ersatz_Motor!$E$1,E23,IF('Ersetzen Motoren'!$E$7=Ersatz_Motor!$F$1,F23,0)))))</f>
        <v>0</v>
      </c>
      <c r="W23" t="b">
        <f>IF(AND('Ersetzen Motoren'!$H$7&lt;A24, 'Ersetzen Motoren'!$H$7&gt;=A23),TRUE)</f>
        <v>0</v>
      </c>
      <c r="X23" s="249">
        <f>IF('Ersetzen Motoren'!$I$7=Ersatz_Motor!$B$1,B23,IF('Ersetzen Motoren'!$I$7=Ersatz_Motor!$C$1,C23,IF('Ersetzen Motoren'!$I$7=Ersatz_Motor!$D$1,D23,IF('Ersetzen Motoren'!$I$7=Ersatz_Motor!$E$1,E23,IF('Ersetzen Motoren'!$I$7=Ersatz_Motor!$F$1,F23,0)))))</f>
        <v>0</v>
      </c>
      <c r="Y23" s="248"/>
      <c r="Z23" t="b">
        <f>IF(AND('Ersetzen Motoren'!$D$8&lt;A24, 'Ersetzen Motoren'!$D$8&gt;=A23),TRUE)</f>
        <v>0</v>
      </c>
      <c r="AA23">
        <f>IF('Ersetzen Motoren'!$E$8=Ersatz_Motor!$B$1,B23,IF('Ersetzen Motoren'!$E$8=Ersatz_Motor!$C$1,C23,IF('Ersetzen Motoren'!$E$8=Ersatz_Motor!$D$1,D23,IF('Ersetzen Motoren'!$E$8=Ersatz_Motor!$E$1,E23,IF('Ersetzen Motoren'!$E$8=Ersatz_Motor!$F$1,F23,0)))))</f>
        <v>0</v>
      </c>
      <c r="AB23" t="b">
        <f>IF(AND('Ersetzen Motoren'!$H$8&lt;A24, 'Ersetzen Motoren'!$H$8&gt;=A23),TRUE)</f>
        <v>0</v>
      </c>
      <c r="AC23" s="249">
        <f>IF('Ersetzen Motoren'!$I$8=Ersatz_Motor!$B$1,B23,IF('Ersetzen Motoren'!$I$8=Ersatz_Motor!$C$1,C23,IF('Ersetzen Motoren'!$I$8=Ersatz_Motor!$D$1,D23,IF('Ersetzen Motoren'!$I$8=Ersatz_Motor!$E$1,E23,IF('Ersetzen Motoren'!$I$8=Ersatz_Motor!$F$1,F23,0)))))</f>
        <v>0</v>
      </c>
      <c r="AD23" s="248"/>
      <c r="AE23" t="b">
        <f>IF(AND('Ersetzen Motoren'!$D$9&lt;A24, 'Ersetzen Motoren'!$D$9&gt;=A23),TRUE)</f>
        <v>0</v>
      </c>
      <c r="AF23">
        <f>IF('Ersetzen Motoren'!$E$9=Ersatz_Motor!$B$1,B23,IF('Ersetzen Motoren'!$E$9=Ersatz_Motor!$C$1,C23,IF('Ersetzen Motoren'!$E$9=Ersatz_Motor!$D$1,D23,IF('Ersetzen Motoren'!$E$9=Ersatz_Motor!$E$1,E23,IF('Ersetzen Motoren'!$E$9=Ersatz_Motor!$F$1,F23,0)))))</f>
        <v>0</v>
      </c>
      <c r="AG23" t="b">
        <f>IF(AND('Ersetzen Motoren'!$H$9&lt;A24, 'Ersetzen Motoren'!$H$9&gt;=A23),TRUE)</f>
        <v>0</v>
      </c>
      <c r="AH23" s="249">
        <f>IF('Ersetzen Motoren'!$I$9=Ersatz_Motor!$B$1,B23,IF('Ersetzen Motoren'!$I$9=Ersatz_Motor!$C$1,C23,IF('Ersetzen Motoren'!$I$9=Ersatz_Motor!$D$1,D23,IF('Ersetzen Motoren'!$I$9=Ersatz_Motor!$E$1,E23,IF('Ersetzen Motoren'!$I$9=Ersatz_Motor!$F$1,F23,0)))))</f>
        <v>0</v>
      </c>
    </row>
    <row r="24" spans="1:34">
      <c r="A24" s="150">
        <v>55</v>
      </c>
      <c r="B24" s="147">
        <v>90.5</v>
      </c>
      <c r="C24" s="147">
        <v>92.1</v>
      </c>
      <c r="D24" s="147">
        <v>93.5</v>
      </c>
      <c r="E24" s="147">
        <v>94.6</v>
      </c>
      <c r="F24" s="148">
        <v>95.7</v>
      </c>
      <c r="G24" t="b">
        <f>IF(AND(Anmeldung!$D$25&lt;A25, Anmeldung!$D$25&gt;=A24),TRUE)</f>
        <v>0</v>
      </c>
      <c r="H24">
        <f>IF(Anmeldung!$I$25=Ersatz_Motor!$B$1,B24,IF(Anmeldung!$I$25=Ersatz_Motor!$C$1,C24,IF(Anmeldung!$I$25=Ersatz_Motor!$D$1,D24,IF(Anmeldung!$I$25=Ersatz_Motor!$E$1,E24,IF(Anmeldung!$I$25=Ersatz_Motor!$F$1,F24,0)))))</f>
        <v>0</v>
      </c>
      <c r="I24">
        <f>IF(Anmeldung!$I$26=Ersatz_Motor!$B$1,B24,IF(Anmeldung!$I$26=Ersatz_Motor!$C$1,C24,IF(Anmeldung!$I$26=Ersatz_Motor!$D$1,D24,IF(Anmeldung!$I$26=Ersatz_Motor!$E$1,E24,IF(Anmeldung!$I$26=Ersatz_Motor!$F$1,F24,0)))))</f>
        <v>0</v>
      </c>
      <c r="J24" s="248"/>
      <c r="K24" t="b">
        <f>IF(AND('Ersetzen Motoren'!$D$5&lt;A25, 'Ersetzen Motoren'!$D$5&gt;=A24),TRUE)</f>
        <v>0</v>
      </c>
      <c r="L24">
        <f>IF('Ersetzen Motoren'!$E$5=Ersatz_Motor!$B$1,B24,IF('Ersetzen Motoren'!$E$5=Ersatz_Motor!$C$1,C24,IF('Ersetzen Motoren'!$E$5=Ersatz_Motor!$D$1,D24,IF('Ersetzen Motoren'!$E$5=Ersatz_Motor!$E$1,E24,IF('Ersetzen Motoren'!$E$5=Ersatz_Motor!$F$1,F24,0)))))</f>
        <v>0</v>
      </c>
      <c r="M24" t="b">
        <f>IF(AND('Ersetzen Motoren'!$H$5&lt;A25, 'Ersetzen Motoren'!$H$5&gt;=A24),TRUE)</f>
        <v>0</v>
      </c>
      <c r="N24" s="249">
        <f>IF('Ersetzen Motoren'!$I$5=Ersatz_Motor!$B$1,B24,IF('Ersetzen Motoren'!$I$5=Ersatz_Motor!$C$1,C24,IF('Ersetzen Motoren'!$I$5=Ersatz_Motor!$D$1,D24,IF('Ersetzen Motoren'!$I$5=Ersatz_Motor!$E$1,E24,IF('Ersetzen Motoren'!$I$5=Ersatz_Motor!$F$1,F24,0)))))</f>
        <v>0</v>
      </c>
      <c r="O24" s="248"/>
      <c r="P24" t="b">
        <f>IF(AND('Ersetzen Motoren'!$D$6&lt;A25, 'Ersetzen Motoren'!$D$6&gt;=A24),TRUE)</f>
        <v>0</v>
      </c>
      <c r="Q24">
        <f>IF('Ersetzen Motoren'!$E$6=Ersatz_Motor!$B$1,B24,IF('Ersetzen Motoren'!$E$6=Ersatz_Motor!$C$1,C24,IF('Ersetzen Motoren'!$E$6=Ersatz_Motor!$D$1,D24,IF('Ersetzen Motoren'!$E$6=Ersatz_Motor!$E$1,E24,IF('Ersetzen Motoren'!$E$6=Ersatz_Motor!$F$1,F24,0)))))</f>
        <v>0</v>
      </c>
      <c r="R24" t="b">
        <f>IF(AND('Ersetzen Motoren'!$H$6&lt;A25, 'Ersetzen Motoren'!$H$6&gt;=A24),TRUE)</f>
        <v>0</v>
      </c>
      <c r="S24" s="249">
        <f>IF('Ersetzen Motoren'!$I$6=Ersatz_Motor!$B$1,B24,IF('Ersetzen Motoren'!$I$6=Ersatz_Motor!$C$1,C24,IF('Ersetzen Motoren'!$I$6=Ersatz_Motor!$D$1,D24,IF('Ersetzen Motoren'!$I$6=Ersatz_Motor!$E$1,E24,IF('Ersetzen Motoren'!$I$6=Ersatz_Motor!$F$1,F24,0)))))</f>
        <v>0</v>
      </c>
      <c r="T24" s="248"/>
      <c r="U24" t="b">
        <f>IF(AND('Ersetzen Motoren'!$D$7&lt;A25, 'Ersetzen Motoren'!$D$7&gt;=A24),TRUE)</f>
        <v>0</v>
      </c>
      <c r="V24">
        <f>IF('Ersetzen Motoren'!$E$7=Ersatz_Motor!$B$1,B24,IF('Ersetzen Motoren'!$E$7=Ersatz_Motor!$C$1,C24,IF('Ersetzen Motoren'!$E$7=Ersatz_Motor!$D$1,D24,IF('Ersetzen Motoren'!$E$7=Ersatz_Motor!$E$1,E24,IF('Ersetzen Motoren'!$E$7=Ersatz_Motor!$F$1,F24,0)))))</f>
        <v>0</v>
      </c>
      <c r="W24" t="b">
        <f>IF(AND('Ersetzen Motoren'!$H$7&lt;A25, 'Ersetzen Motoren'!$H$7&gt;=A24),TRUE)</f>
        <v>0</v>
      </c>
      <c r="X24" s="249">
        <f>IF('Ersetzen Motoren'!$I$7=Ersatz_Motor!$B$1,B24,IF('Ersetzen Motoren'!$I$7=Ersatz_Motor!$C$1,C24,IF('Ersetzen Motoren'!$I$7=Ersatz_Motor!$D$1,D24,IF('Ersetzen Motoren'!$I$7=Ersatz_Motor!$E$1,E24,IF('Ersetzen Motoren'!$I$7=Ersatz_Motor!$F$1,F24,0)))))</f>
        <v>0</v>
      </c>
      <c r="Y24" s="248"/>
      <c r="Z24" t="b">
        <f>IF(AND('Ersetzen Motoren'!$D$8&lt;A25, 'Ersetzen Motoren'!$D$8&gt;=A24),TRUE)</f>
        <v>0</v>
      </c>
      <c r="AA24">
        <f>IF('Ersetzen Motoren'!$E$8=Ersatz_Motor!$B$1,B24,IF('Ersetzen Motoren'!$E$8=Ersatz_Motor!$C$1,C24,IF('Ersetzen Motoren'!$E$8=Ersatz_Motor!$D$1,D24,IF('Ersetzen Motoren'!$E$8=Ersatz_Motor!$E$1,E24,IF('Ersetzen Motoren'!$E$8=Ersatz_Motor!$F$1,F24,0)))))</f>
        <v>0</v>
      </c>
      <c r="AB24" t="b">
        <f>IF(AND('Ersetzen Motoren'!$H$8&lt;A25, 'Ersetzen Motoren'!$H$8&gt;=A24),TRUE)</f>
        <v>0</v>
      </c>
      <c r="AC24" s="249">
        <f>IF('Ersetzen Motoren'!$I$8=Ersatz_Motor!$B$1,B24,IF('Ersetzen Motoren'!$I$8=Ersatz_Motor!$C$1,C24,IF('Ersetzen Motoren'!$I$8=Ersatz_Motor!$D$1,D24,IF('Ersetzen Motoren'!$I$8=Ersatz_Motor!$E$1,E24,IF('Ersetzen Motoren'!$I$8=Ersatz_Motor!$F$1,F24,0)))))</f>
        <v>0</v>
      </c>
      <c r="AD24" s="248"/>
      <c r="AE24" t="b">
        <f>IF(AND('Ersetzen Motoren'!$D$9&lt;A25, 'Ersetzen Motoren'!$D$9&gt;=A24),TRUE)</f>
        <v>0</v>
      </c>
      <c r="AF24">
        <f>IF('Ersetzen Motoren'!$E$9=Ersatz_Motor!$B$1,B24,IF('Ersetzen Motoren'!$E$9=Ersatz_Motor!$C$1,C24,IF('Ersetzen Motoren'!$E$9=Ersatz_Motor!$D$1,D24,IF('Ersetzen Motoren'!$E$9=Ersatz_Motor!$E$1,E24,IF('Ersetzen Motoren'!$E$9=Ersatz_Motor!$F$1,F24,0)))))</f>
        <v>0</v>
      </c>
      <c r="AG24" t="b">
        <f>IF(AND('Ersetzen Motoren'!$H$9&lt;A25, 'Ersetzen Motoren'!$H$9&gt;=A24),TRUE)</f>
        <v>0</v>
      </c>
      <c r="AH24" s="249">
        <f>IF('Ersetzen Motoren'!$I$9=Ersatz_Motor!$B$1,B24,IF('Ersetzen Motoren'!$I$9=Ersatz_Motor!$C$1,C24,IF('Ersetzen Motoren'!$I$9=Ersatz_Motor!$D$1,D24,IF('Ersetzen Motoren'!$I$9=Ersatz_Motor!$E$1,E24,IF('Ersetzen Motoren'!$I$9=Ersatz_Motor!$F$1,F24,0)))))</f>
        <v>0</v>
      </c>
    </row>
    <row r="25" spans="1:34">
      <c r="A25" s="150">
        <v>75</v>
      </c>
      <c r="B25" s="147">
        <v>91.2</v>
      </c>
      <c r="C25" s="147">
        <v>92.7</v>
      </c>
      <c r="D25" s="147">
        <v>94</v>
      </c>
      <c r="E25" s="147">
        <v>95</v>
      </c>
      <c r="F25" s="148">
        <v>96</v>
      </c>
      <c r="G25" t="b">
        <f>IF(AND(Anmeldung!$D$25&lt;A26, Anmeldung!$D$25&gt;=A25),TRUE)</f>
        <v>0</v>
      </c>
      <c r="H25">
        <f>IF(Anmeldung!$I$25=Ersatz_Motor!$B$1,B25,IF(Anmeldung!$I$25=Ersatz_Motor!$C$1,C25,IF(Anmeldung!$I$25=Ersatz_Motor!$D$1,D25,IF(Anmeldung!$I$25=Ersatz_Motor!$E$1,E25,IF(Anmeldung!$I$25=Ersatz_Motor!$F$1,F25,0)))))</f>
        <v>0</v>
      </c>
      <c r="I25">
        <f>IF(Anmeldung!$I$26=Ersatz_Motor!$B$1,B25,IF(Anmeldung!$I$26=Ersatz_Motor!$C$1,C25,IF(Anmeldung!$I$26=Ersatz_Motor!$D$1,D25,IF(Anmeldung!$I$26=Ersatz_Motor!$E$1,E25,IF(Anmeldung!$I$26=Ersatz_Motor!$F$1,F25,0)))))</f>
        <v>0</v>
      </c>
      <c r="J25" s="248"/>
      <c r="K25" t="b">
        <f>IF(AND('Ersetzen Motoren'!$D$5&lt;A26, 'Ersetzen Motoren'!$D$5&gt;=A25),TRUE)</f>
        <v>0</v>
      </c>
      <c r="L25">
        <f>IF('Ersetzen Motoren'!$E$5=Ersatz_Motor!$B$1,B25,IF('Ersetzen Motoren'!$E$5=Ersatz_Motor!$C$1,C25,IF('Ersetzen Motoren'!$E$5=Ersatz_Motor!$D$1,D25,IF('Ersetzen Motoren'!$E$5=Ersatz_Motor!$E$1,E25,IF('Ersetzen Motoren'!$E$5=Ersatz_Motor!$F$1,F25,0)))))</f>
        <v>0</v>
      </c>
      <c r="M25" t="b">
        <f>IF(AND('Ersetzen Motoren'!$H$5&lt;A26, 'Ersetzen Motoren'!$H$5&gt;=A25),TRUE)</f>
        <v>0</v>
      </c>
      <c r="N25" s="249">
        <f>IF('Ersetzen Motoren'!$I$5=Ersatz_Motor!$B$1,B25,IF('Ersetzen Motoren'!$I$5=Ersatz_Motor!$C$1,C25,IF('Ersetzen Motoren'!$I$5=Ersatz_Motor!$D$1,D25,IF('Ersetzen Motoren'!$I$5=Ersatz_Motor!$E$1,E25,IF('Ersetzen Motoren'!$I$5=Ersatz_Motor!$F$1,F25,0)))))</f>
        <v>0</v>
      </c>
      <c r="O25" s="248"/>
      <c r="P25" t="b">
        <f>IF(AND('Ersetzen Motoren'!$D$6&lt;A26, 'Ersetzen Motoren'!$D$6&gt;=A25),TRUE)</f>
        <v>0</v>
      </c>
      <c r="Q25">
        <f>IF('Ersetzen Motoren'!$E$6=Ersatz_Motor!$B$1,B25,IF('Ersetzen Motoren'!$E$6=Ersatz_Motor!$C$1,C25,IF('Ersetzen Motoren'!$E$6=Ersatz_Motor!$D$1,D25,IF('Ersetzen Motoren'!$E$6=Ersatz_Motor!$E$1,E25,IF('Ersetzen Motoren'!$E$6=Ersatz_Motor!$F$1,F25,0)))))</f>
        <v>0</v>
      </c>
      <c r="R25" t="b">
        <f>IF(AND('Ersetzen Motoren'!$H$6&lt;A26, 'Ersetzen Motoren'!$H$6&gt;=A25),TRUE)</f>
        <v>0</v>
      </c>
      <c r="S25" s="249">
        <f>IF('Ersetzen Motoren'!$I$6=Ersatz_Motor!$B$1,B25,IF('Ersetzen Motoren'!$I$6=Ersatz_Motor!$C$1,C25,IF('Ersetzen Motoren'!$I$6=Ersatz_Motor!$D$1,D25,IF('Ersetzen Motoren'!$I$6=Ersatz_Motor!$E$1,E25,IF('Ersetzen Motoren'!$I$6=Ersatz_Motor!$F$1,F25,0)))))</f>
        <v>0</v>
      </c>
      <c r="T25" s="248"/>
      <c r="U25" t="b">
        <f>IF(AND('Ersetzen Motoren'!$D$7&lt;A26, 'Ersetzen Motoren'!$D$7&gt;=A25),TRUE)</f>
        <v>0</v>
      </c>
      <c r="V25">
        <f>IF('Ersetzen Motoren'!$E$7=Ersatz_Motor!$B$1,B25,IF('Ersetzen Motoren'!$E$7=Ersatz_Motor!$C$1,C25,IF('Ersetzen Motoren'!$E$7=Ersatz_Motor!$D$1,D25,IF('Ersetzen Motoren'!$E$7=Ersatz_Motor!$E$1,E25,IF('Ersetzen Motoren'!$E$7=Ersatz_Motor!$F$1,F25,0)))))</f>
        <v>0</v>
      </c>
      <c r="W25" t="b">
        <f>IF(AND('Ersetzen Motoren'!$H$7&lt;A26, 'Ersetzen Motoren'!$H$7&gt;=A25),TRUE)</f>
        <v>0</v>
      </c>
      <c r="X25" s="249">
        <f>IF('Ersetzen Motoren'!$I$7=Ersatz_Motor!$B$1,B25,IF('Ersetzen Motoren'!$I$7=Ersatz_Motor!$C$1,C25,IF('Ersetzen Motoren'!$I$7=Ersatz_Motor!$D$1,D25,IF('Ersetzen Motoren'!$I$7=Ersatz_Motor!$E$1,E25,IF('Ersetzen Motoren'!$I$7=Ersatz_Motor!$F$1,F25,0)))))</f>
        <v>0</v>
      </c>
      <c r="Y25" s="248"/>
      <c r="Z25" t="b">
        <f>IF(AND('Ersetzen Motoren'!$D$8&lt;A26, 'Ersetzen Motoren'!$D$8&gt;=A25),TRUE)</f>
        <v>0</v>
      </c>
      <c r="AA25">
        <f>IF('Ersetzen Motoren'!$E$8=Ersatz_Motor!$B$1,B25,IF('Ersetzen Motoren'!$E$8=Ersatz_Motor!$C$1,C25,IF('Ersetzen Motoren'!$E$8=Ersatz_Motor!$D$1,D25,IF('Ersetzen Motoren'!$E$8=Ersatz_Motor!$E$1,E25,IF('Ersetzen Motoren'!$E$8=Ersatz_Motor!$F$1,F25,0)))))</f>
        <v>0</v>
      </c>
      <c r="AB25" t="b">
        <f>IF(AND('Ersetzen Motoren'!$H$8&lt;A26, 'Ersetzen Motoren'!$H$8&gt;=A25),TRUE)</f>
        <v>0</v>
      </c>
      <c r="AC25" s="249">
        <f>IF('Ersetzen Motoren'!$I$8=Ersatz_Motor!$B$1,B25,IF('Ersetzen Motoren'!$I$8=Ersatz_Motor!$C$1,C25,IF('Ersetzen Motoren'!$I$8=Ersatz_Motor!$D$1,D25,IF('Ersetzen Motoren'!$I$8=Ersatz_Motor!$E$1,E25,IF('Ersetzen Motoren'!$I$8=Ersatz_Motor!$F$1,F25,0)))))</f>
        <v>0</v>
      </c>
      <c r="AD25" s="248"/>
      <c r="AE25" t="b">
        <f>IF(AND('Ersetzen Motoren'!$D$9&lt;A26, 'Ersetzen Motoren'!$D$9&gt;=A25),TRUE)</f>
        <v>0</v>
      </c>
      <c r="AF25">
        <f>IF('Ersetzen Motoren'!$E$9=Ersatz_Motor!$B$1,B25,IF('Ersetzen Motoren'!$E$9=Ersatz_Motor!$C$1,C25,IF('Ersetzen Motoren'!$E$9=Ersatz_Motor!$D$1,D25,IF('Ersetzen Motoren'!$E$9=Ersatz_Motor!$E$1,E25,IF('Ersetzen Motoren'!$E$9=Ersatz_Motor!$F$1,F25,0)))))</f>
        <v>0</v>
      </c>
      <c r="AG25" t="b">
        <f>IF(AND('Ersetzen Motoren'!$H$9&lt;A26, 'Ersetzen Motoren'!$H$9&gt;=A25),TRUE)</f>
        <v>0</v>
      </c>
      <c r="AH25" s="249">
        <f>IF('Ersetzen Motoren'!$I$9=Ersatz_Motor!$B$1,B25,IF('Ersetzen Motoren'!$I$9=Ersatz_Motor!$C$1,C25,IF('Ersetzen Motoren'!$I$9=Ersatz_Motor!$D$1,D25,IF('Ersetzen Motoren'!$I$9=Ersatz_Motor!$E$1,E25,IF('Ersetzen Motoren'!$I$9=Ersatz_Motor!$F$1,F25,0)))))</f>
        <v>0</v>
      </c>
    </row>
    <row r="26" spans="1:34">
      <c r="A26" s="150">
        <v>90</v>
      </c>
      <c r="B26" s="147">
        <v>91.6</v>
      </c>
      <c r="C26" s="147">
        <v>93</v>
      </c>
      <c r="D26" s="147">
        <v>94.2</v>
      </c>
      <c r="E26" s="147">
        <v>95.2</v>
      </c>
      <c r="F26" s="148">
        <v>96.1</v>
      </c>
      <c r="G26" t="b">
        <f>IF(AND(Anmeldung!$D$25&lt;A27, Anmeldung!$D$25&gt;=A26),TRUE)</f>
        <v>0</v>
      </c>
      <c r="H26">
        <f>IF(Anmeldung!$I$25=Ersatz_Motor!$B$1,B26,IF(Anmeldung!$I$25=Ersatz_Motor!$C$1,C26,IF(Anmeldung!$I$25=Ersatz_Motor!$D$1,D26,IF(Anmeldung!$I$25=Ersatz_Motor!$E$1,E26,IF(Anmeldung!$I$25=Ersatz_Motor!$F$1,F26,0)))))</f>
        <v>0</v>
      </c>
      <c r="I26">
        <f>IF(Anmeldung!$I$26=Ersatz_Motor!$B$1,B26,IF(Anmeldung!$I$26=Ersatz_Motor!$C$1,C26,IF(Anmeldung!$I$26=Ersatz_Motor!$D$1,D26,IF(Anmeldung!$I$26=Ersatz_Motor!$E$1,E26,IF(Anmeldung!$I$26=Ersatz_Motor!$F$1,F26,0)))))</f>
        <v>0</v>
      </c>
      <c r="J26" s="248"/>
      <c r="K26" t="b">
        <f>IF(AND('Ersetzen Motoren'!$D$5&lt;A27, 'Ersetzen Motoren'!$D$5&gt;=A26),TRUE)</f>
        <v>0</v>
      </c>
      <c r="L26">
        <f>IF('Ersetzen Motoren'!$E$5=Ersatz_Motor!$B$1,B26,IF('Ersetzen Motoren'!$E$5=Ersatz_Motor!$C$1,C26,IF('Ersetzen Motoren'!$E$5=Ersatz_Motor!$D$1,D26,IF('Ersetzen Motoren'!$E$5=Ersatz_Motor!$E$1,E26,IF('Ersetzen Motoren'!$E$5=Ersatz_Motor!$F$1,F26,0)))))</f>
        <v>0</v>
      </c>
      <c r="M26" t="b">
        <f>IF(AND('Ersetzen Motoren'!$H$5&lt;A27, 'Ersetzen Motoren'!$H$5&gt;=A26),TRUE)</f>
        <v>0</v>
      </c>
      <c r="N26" s="249">
        <f>IF('Ersetzen Motoren'!$I$5=Ersatz_Motor!$B$1,B26,IF('Ersetzen Motoren'!$I$5=Ersatz_Motor!$C$1,C26,IF('Ersetzen Motoren'!$I$5=Ersatz_Motor!$D$1,D26,IF('Ersetzen Motoren'!$I$5=Ersatz_Motor!$E$1,E26,IF('Ersetzen Motoren'!$I$5=Ersatz_Motor!$F$1,F26,0)))))</f>
        <v>0</v>
      </c>
      <c r="O26" s="248"/>
      <c r="P26" t="b">
        <f>IF(AND('Ersetzen Motoren'!$D$6&lt;A27, 'Ersetzen Motoren'!$D$6&gt;=A26),TRUE)</f>
        <v>0</v>
      </c>
      <c r="Q26">
        <f>IF('Ersetzen Motoren'!$E$6=Ersatz_Motor!$B$1,B26,IF('Ersetzen Motoren'!$E$6=Ersatz_Motor!$C$1,C26,IF('Ersetzen Motoren'!$E$6=Ersatz_Motor!$D$1,D26,IF('Ersetzen Motoren'!$E$6=Ersatz_Motor!$E$1,E26,IF('Ersetzen Motoren'!$E$6=Ersatz_Motor!$F$1,F26,0)))))</f>
        <v>0</v>
      </c>
      <c r="R26" t="b">
        <f>IF(AND('Ersetzen Motoren'!$H$6&lt;A27, 'Ersetzen Motoren'!$H$6&gt;=A26),TRUE)</f>
        <v>0</v>
      </c>
      <c r="S26" s="249">
        <f>IF('Ersetzen Motoren'!$I$6=Ersatz_Motor!$B$1,B26,IF('Ersetzen Motoren'!$I$6=Ersatz_Motor!$C$1,C26,IF('Ersetzen Motoren'!$I$6=Ersatz_Motor!$D$1,D26,IF('Ersetzen Motoren'!$I$6=Ersatz_Motor!$E$1,E26,IF('Ersetzen Motoren'!$I$6=Ersatz_Motor!$F$1,F26,0)))))</f>
        <v>0</v>
      </c>
      <c r="T26" s="248"/>
      <c r="U26" t="b">
        <f>IF(AND('Ersetzen Motoren'!$D$7&lt;A27, 'Ersetzen Motoren'!$D$7&gt;=A26),TRUE)</f>
        <v>0</v>
      </c>
      <c r="V26">
        <f>IF('Ersetzen Motoren'!$E$7=Ersatz_Motor!$B$1,B26,IF('Ersetzen Motoren'!$E$7=Ersatz_Motor!$C$1,C26,IF('Ersetzen Motoren'!$E$7=Ersatz_Motor!$D$1,D26,IF('Ersetzen Motoren'!$E$7=Ersatz_Motor!$E$1,E26,IF('Ersetzen Motoren'!$E$7=Ersatz_Motor!$F$1,F26,0)))))</f>
        <v>0</v>
      </c>
      <c r="W26" t="b">
        <f>IF(AND('Ersetzen Motoren'!$H$7&lt;A27, 'Ersetzen Motoren'!$H$7&gt;=A26),TRUE)</f>
        <v>0</v>
      </c>
      <c r="X26" s="249">
        <f>IF('Ersetzen Motoren'!$I$7=Ersatz_Motor!$B$1,B26,IF('Ersetzen Motoren'!$I$7=Ersatz_Motor!$C$1,C26,IF('Ersetzen Motoren'!$I$7=Ersatz_Motor!$D$1,D26,IF('Ersetzen Motoren'!$I$7=Ersatz_Motor!$E$1,E26,IF('Ersetzen Motoren'!$I$7=Ersatz_Motor!$F$1,F26,0)))))</f>
        <v>0</v>
      </c>
      <c r="Y26" s="248"/>
      <c r="Z26" t="b">
        <f>IF(AND('Ersetzen Motoren'!$D$8&lt;A27, 'Ersetzen Motoren'!$D$8&gt;=A26),TRUE)</f>
        <v>0</v>
      </c>
      <c r="AA26">
        <f>IF('Ersetzen Motoren'!$E$8=Ersatz_Motor!$B$1,B26,IF('Ersetzen Motoren'!$E$8=Ersatz_Motor!$C$1,C26,IF('Ersetzen Motoren'!$E$8=Ersatz_Motor!$D$1,D26,IF('Ersetzen Motoren'!$E$8=Ersatz_Motor!$E$1,E26,IF('Ersetzen Motoren'!$E$8=Ersatz_Motor!$F$1,F26,0)))))</f>
        <v>0</v>
      </c>
      <c r="AB26" t="b">
        <f>IF(AND('Ersetzen Motoren'!$H$8&lt;A27, 'Ersetzen Motoren'!$H$8&gt;=A26),TRUE)</f>
        <v>0</v>
      </c>
      <c r="AC26" s="249">
        <f>IF('Ersetzen Motoren'!$I$8=Ersatz_Motor!$B$1,B26,IF('Ersetzen Motoren'!$I$8=Ersatz_Motor!$C$1,C26,IF('Ersetzen Motoren'!$I$8=Ersatz_Motor!$D$1,D26,IF('Ersetzen Motoren'!$I$8=Ersatz_Motor!$E$1,E26,IF('Ersetzen Motoren'!$I$8=Ersatz_Motor!$F$1,F26,0)))))</f>
        <v>0</v>
      </c>
      <c r="AD26" s="248"/>
      <c r="AE26" t="b">
        <f>IF(AND('Ersetzen Motoren'!$D$9&lt;A27, 'Ersetzen Motoren'!$D$9&gt;=A26),TRUE)</f>
        <v>0</v>
      </c>
      <c r="AF26">
        <f>IF('Ersetzen Motoren'!$E$9=Ersatz_Motor!$B$1,B26,IF('Ersetzen Motoren'!$E$9=Ersatz_Motor!$C$1,C26,IF('Ersetzen Motoren'!$E$9=Ersatz_Motor!$D$1,D26,IF('Ersetzen Motoren'!$E$9=Ersatz_Motor!$E$1,E26,IF('Ersetzen Motoren'!$E$9=Ersatz_Motor!$F$1,F26,0)))))</f>
        <v>0</v>
      </c>
      <c r="AG26" t="b">
        <f>IF(AND('Ersetzen Motoren'!$H$9&lt;A27, 'Ersetzen Motoren'!$H$9&gt;=A26),TRUE)</f>
        <v>0</v>
      </c>
      <c r="AH26" s="249">
        <f>IF('Ersetzen Motoren'!$I$9=Ersatz_Motor!$B$1,B26,IF('Ersetzen Motoren'!$I$9=Ersatz_Motor!$C$1,C26,IF('Ersetzen Motoren'!$I$9=Ersatz_Motor!$D$1,D26,IF('Ersetzen Motoren'!$I$9=Ersatz_Motor!$E$1,E26,IF('Ersetzen Motoren'!$I$9=Ersatz_Motor!$F$1,F26,0)))))</f>
        <v>0</v>
      </c>
    </row>
    <row r="27" spans="1:34">
      <c r="A27" s="150">
        <v>110</v>
      </c>
      <c r="B27" s="147">
        <v>92</v>
      </c>
      <c r="C27" s="147">
        <v>93.3</v>
      </c>
      <c r="D27" s="147">
        <v>94.5</v>
      </c>
      <c r="E27" s="147">
        <v>95.4</v>
      </c>
      <c r="F27" s="148">
        <v>96.3</v>
      </c>
      <c r="G27" t="b">
        <f>IF(AND(Anmeldung!$D$25&lt;A28, Anmeldung!$D$25&gt;=A27),TRUE)</f>
        <v>0</v>
      </c>
      <c r="H27">
        <f>IF(Anmeldung!$I$25=Ersatz_Motor!$B$1,B27,IF(Anmeldung!$I$25=Ersatz_Motor!$C$1,C27,IF(Anmeldung!$I$25=Ersatz_Motor!$D$1,D27,IF(Anmeldung!$I$25=Ersatz_Motor!$E$1,E27,IF(Anmeldung!$I$25=Ersatz_Motor!$F$1,F27,0)))))</f>
        <v>0</v>
      </c>
      <c r="I27">
        <f>IF(Anmeldung!$I$26=Ersatz_Motor!$B$1,B27,IF(Anmeldung!$I$26=Ersatz_Motor!$C$1,C27,IF(Anmeldung!$I$26=Ersatz_Motor!$D$1,D27,IF(Anmeldung!$I$26=Ersatz_Motor!$E$1,E27,IF(Anmeldung!$I$26=Ersatz_Motor!$F$1,F27,0)))))</f>
        <v>0</v>
      </c>
      <c r="J27" s="248"/>
      <c r="K27" t="b">
        <f>IF(AND('Ersetzen Motoren'!$D$5&lt;A28, 'Ersetzen Motoren'!$D$5&gt;=A27),TRUE)</f>
        <v>0</v>
      </c>
      <c r="L27">
        <f>IF('Ersetzen Motoren'!$E$5=Ersatz_Motor!$B$1,B27,IF('Ersetzen Motoren'!$E$5=Ersatz_Motor!$C$1,C27,IF('Ersetzen Motoren'!$E$5=Ersatz_Motor!$D$1,D27,IF('Ersetzen Motoren'!$E$5=Ersatz_Motor!$E$1,E27,IF('Ersetzen Motoren'!$E$5=Ersatz_Motor!$F$1,F27,0)))))</f>
        <v>0</v>
      </c>
      <c r="M27" t="b">
        <f>IF(AND('Ersetzen Motoren'!$H$5&lt;A28, 'Ersetzen Motoren'!$H$5&gt;=A27),TRUE)</f>
        <v>0</v>
      </c>
      <c r="N27" s="249">
        <f>IF('Ersetzen Motoren'!$I$5=Ersatz_Motor!$B$1,B27,IF('Ersetzen Motoren'!$I$5=Ersatz_Motor!$C$1,C27,IF('Ersetzen Motoren'!$I$5=Ersatz_Motor!$D$1,D27,IF('Ersetzen Motoren'!$I$5=Ersatz_Motor!$E$1,E27,IF('Ersetzen Motoren'!$I$5=Ersatz_Motor!$F$1,F27,0)))))</f>
        <v>0</v>
      </c>
      <c r="O27" s="248"/>
      <c r="P27" t="b">
        <f>IF(AND('Ersetzen Motoren'!$D$6&lt;A28, 'Ersetzen Motoren'!$D$6&gt;=A27),TRUE)</f>
        <v>0</v>
      </c>
      <c r="Q27">
        <f>IF('Ersetzen Motoren'!$E$6=Ersatz_Motor!$B$1,B27,IF('Ersetzen Motoren'!$E$6=Ersatz_Motor!$C$1,C27,IF('Ersetzen Motoren'!$E$6=Ersatz_Motor!$D$1,D27,IF('Ersetzen Motoren'!$E$6=Ersatz_Motor!$E$1,E27,IF('Ersetzen Motoren'!$E$6=Ersatz_Motor!$F$1,F27,0)))))</f>
        <v>0</v>
      </c>
      <c r="R27" t="b">
        <f>IF(AND('Ersetzen Motoren'!$H$6&lt;A28, 'Ersetzen Motoren'!$H$6&gt;=A27),TRUE)</f>
        <v>0</v>
      </c>
      <c r="S27" s="249">
        <f>IF('Ersetzen Motoren'!$I$6=Ersatz_Motor!$B$1,B27,IF('Ersetzen Motoren'!$I$6=Ersatz_Motor!$C$1,C27,IF('Ersetzen Motoren'!$I$6=Ersatz_Motor!$D$1,D27,IF('Ersetzen Motoren'!$I$6=Ersatz_Motor!$E$1,E27,IF('Ersetzen Motoren'!$I$6=Ersatz_Motor!$F$1,F27,0)))))</f>
        <v>0</v>
      </c>
      <c r="T27" s="248"/>
      <c r="U27" t="b">
        <f>IF(AND('Ersetzen Motoren'!$D$7&lt;A28, 'Ersetzen Motoren'!$D$7&gt;=A27),TRUE)</f>
        <v>0</v>
      </c>
      <c r="V27">
        <f>IF('Ersetzen Motoren'!$E$7=Ersatz_Motor!$B$1,B27,IF('Ersetzen Motoren'!$E$7=Ersatz_Motor!$C$1,C27,IF('Ersetzen Motoren'!$E$7=Ersatz_Motor!$D$1,D27,IF('Ersetzen Motoren'!$E$7=Ersatz_Motor!$E$1,E27,IF('Ersetzen Motoren'!$E$7=Ersatz_Motor!$F$1,F27,0)))))</f>
        <v>0</v>
      </c>
      <c r="W27" t="b">
        <f>IF(AND('Ersetzen Motoren'!$H$7&lt;A28, 'Ersetzen Motoren'!$H$7&gt;=A27),TRUE)</f>
        <v>0</v>
      </c>
      <c r="X27" s="249">
        <f>IF('Ersetzen Motoren'!$I$7=Ersatz_Motor!$B$1,B27,IF('Ersetzen Motoren'!$I$7=Ersatz_Motor!$C$1,C27,IF('Ersetzen Motoren'!$I$7=Ersatz_Motor!$D$1,D27,IF('Ersetzen Motoren'!$I$7=Ersatz_Motor!$E$1,E27,IF('Ersetzen Motoren'!$I$7=Ersatz_Motor!$F$1,F27,0)))))</f>
        <v>0</v>
      </c>
      <c r="Y27" s="248"/>
      <c r="Z27" t="b">
        <f>IF(AND('Ersetzen Motoren'!$D$8&lt;A28, 'Ersetzen Motoren'!$D$8&gt;=A27),TRUE)</f>
        <v>0</v>
      </c>
      <c r="AA27">
        <f>IF('Ersetzen Motoren'!$E$8=Ersatz_Motor!$B$1,B27,IF('Ersetzen Motoren'!$E$8=Ersatz_Motor!$C$1,C27,IF('Ersetzen Motoren'!$E$8=Ersatz_Motor!$D$1,D27,IF('Ersetzen Motoren'!$E$8=Ersatz_Motor!$E$1,E27,IF('Ersetzen Motoren'!$E$8=Ersatz_Motor!$F$1,F27,0)))))</f>
        <v>0</v>
      </c>
      <c r="AB27" t="b">
        <f>IF(AND('Ersetzen Motoren'!$H$8&lt;A28, 'Ersetzen Motoren'!$H$8&gt;=A27),TRUE)</f>
        <v>0</v>
      </c>
      <c r="AC27" s="249">
        <f>IF('Ersetzen Motoren'!$I$8=Ersatz_Motor!$B$1,B27,IF('Ersetzen Motoren'!$I$8=Ersatz_Motor!$C$1,C27,IF('Ersetzen Motoren'!$I$8=Ersatz_Motor!$D$1,D27,IF('Ersetzen Motoren'!$I$8=Ersatz_Motor!$E$1,E27,IF('Ersetzen Motoren'!$I$8=Ersatz_Motor!$F$1,F27,0)))))</f>
        <v>0</v>
      </c>
      <c r="AD27" s="248"/>
      <c r="AE27" t="b">
        <f>IF(AND('Ersetzen Motoren'!$D$9&lt;A28, 'Ersetzen Motoren'!$D$9&gt;=A27),TRUE)</f>
        <v>0</v>
      </c>
      <c r="AF27">
        <f>IF('Ersetzen Motoren'!$E$9=Ersatz_Motor!$B$1,B27,IF('Ersetzen Motoren'!$E$9=Ersatz_Motor!$C$1,C27,IF('Ersetzen Motoren'!$E$9=Ersatz_Motor!$D$1,D27,IF('Ersetzen Motoren'!$E$9=Ersatz_Motor!$E$1,E27,IF('Ersetzen Motoren'!$E$9=Ersatz_Motor!$F$1,F27,0)))))</f>
        <v>0</v>
      </c>
      <c r="AG27" t="b">
        <f>IF(AND('Ersetzen Motoren'!$H$9&lt;A28, 'Ersetzen Motoren'!$H$9&gt;=A27),TRUE)</f>
        <v>0</v>
      </c>
      <c r="AH27" s="249">
        <f>IF('Ersetzen Motoren'!$I$9=Ersatz_Motor!$B$1,B27,IF('Ersetzen Motoren'!$I$9=Ersatz_Motor!$C$1,C27,IF('Ersetzen Motoren'!$I$9=Ersatz_Motor!$D$1,D27,IF('Ersetzen Motoren'!$I$9=Ersatz_Motor!$E$1,E27,IF('Ersetzen Motoren'!$I$9=Ersatz_Motor!$F$1,F27,0)))))</f>
        <v>0</v>
      </c>
    </row>
    <row r="28" spans="1:34">
      <c r="A28" s="150">
        <v>132</v>
      </c>
      <c r="B28" s="147">
        <v>92.2</v>
      </c>
      <c r="C28" s="147">
        <v>93.5</v>
      </c>
      <c r="D28" s="147">
        <v>94.7</v>
      </c>
      <c r="E28" s="147">
        <v>95.6</v>
      </c>
      <c r="F28" s="148">
        <v>96.4</v>
      </c>
      <c r="G28" t="b">
        <f>IF(AND(Anmeldung!$D$25&lt;A29, Anmeldung!$D$25&gt;=A28),TRUE)</f>
        <v>0</v>
      </c>
      <c r="H28">
        <f>IF(Anmeldung!$I$25=Ersatz_Motor!$B$1,B28,IF(Anmeldung!$I$25=Ersatz_Motor!$C$1,C28,IF(Anmeldung!$I$25=Ersatz_Motor!$D$1,D28,IF(Anmeldung!$I$25=Ersatz_Motor!$E$1,E28,IF(Anmeldung!$I$25=Ersatz_Motor!$F$1,F28,0)))))</f>
        <v>0</v>
      </c>
      <c r="I28">
        <f>IF(Anmeldung!$I$26=Ersatz_Motor!$B$1,B28,IF(Anmeldung!$I$26=Ersatz_Motor!$C$1,C28,IF(Anmeldung!$I$26=Ersatz_Motor!$D$1,D28,IF(Anmeldung!$I$26=Ersatz_Motor!$E$1,E28,IF(Anmeldung!$I$26=Ersatz_Motor!$F$1,F28,0)))))</f>
        <v>0</v>
      </c>
      <c r="J28" s="248"/>
      <c r="K28" t="b">
        <f>IF(AND('Ersetzen Motoren'!$D$5&lt;A29, 'Ersetzen Motoren'!$D$5&gt;=A28),TRUE)</f>
        <v>0</v>
      </c>
      <c r="L28">
        <f>IF('Ersetzen Motoren'!$E$5=Ersatz_Motor!$B$1,B28,IF('Ersetzen Motoren'!$E$5=Ersatz_Motor!$C$1,C28,IF('Ersetzen Motoren'!$E$5=Ersatz_Motor!$D$1,D28,IF('Ersetzen Motoren'!$E$5=Ersatz_Motor!$E$1,E28,IF('Ersetzen Motoren'!$E$5=Ersatz_Motor!$F$1,F28,0)))))</f>
        <v>0</v>
      </c>
      <c r="M28" t="b">
        <f>IF(AND('Ersetzen Motoren'!$H$5&lt;A29, 'Ersetzen Motoren'!$H$5&gt;=A28),TRUE)</f>
        <v>0</v>
      </c>
      <c r="N28" s="249">
        <f>IF('Ersetzen Motoren'!$I$5=Ersatz_Motor!$B$1,B28,IF('Ersetzen Motoren'!$I$5=Ersatz_Motor!$C$1,C28,IF('Ersetzen Motoren'!$I$5=Ersatz_Motor!$D$1,D28,IF('Ersetzen Motoren'!$I$5=Ersatz_Motor!$E$1,E28,IF('Ersetzen Motoren'!$I$5=Ersatz_Motor!$F$1,F28,0)))))</f>
        <v>0</v>
      </c>
      <c r="O28" s="248"/>
      <c r="P28" t="b">
        <f>IF(AND('Ersetzen Motoren'!$D$6&lt;A29, 'Ersetzen Motoren'!$D$6&gt;=A28),TRUE)</f>
        <v>0</v>
      </c>
      <c r="Q28">
        <f>IF('Ersetzen Motoren'!$E$6=Ersatz_Motor!$B$1,B28,IF('Ersetzen Motoren'!$E$6=Ersatz_Motor!$C$1,C28,IF('Ersetzen Motoren'!$E$6=Ersatz_Motor!$D$1,D28,IF('Ersetzen Motoren'!$E$6=Ersatz_Motor!$E$1,E28,IF('Ersetzen Motoren'!$E$6=Ersatz_Motor!$F$1,F28,0)))))</f>
        <v>0</v>
      </c>
      <c r="R28" t="b">
        <f>IF(AND('Ersetzen Motoren'!$H$6&lt;A29, 'Ersetzen Motoren'!$H$6&gt;=A28),TRUE)</f>
        <v>0</v>
      </c>
      <c r="S28" s="249">
        <f>IF('Ersetzen Motoren'!$I$6=Ersatz_Motor!$B$1,B28,IF('Ersetzen Motoren'!$I$6=Ersatz_Motor!$C$1,C28,IF('Ersetzen Motoren'!$I$6=Ersatz_Motor!$D$1,D28,IF('Ersetzen Motoren'!$I$6=Ersatz_Motor!$E$1,E28,IF('Ersetzen Motoren'!$I$6=Ersatz_Motor!$F$1,F28,0)))))</f>
        <v>0</v>
      </c>
      <c r="T28" s="248"/>
      <c r="U28" t="b">
        <f>IF(AND('Ersetzen Motoren'!$D$7&lt;A29, 'Ersetzen Motoren'!$D$7&gt;=A28),TRUE)</f>
        <v>0</v>
      </c>
      <c r="V28">
        <f>IF('Ersetzen Motoren'!$E$7=Ersatz_Motor!$B$1,B28,IF('Ersetzen Motoren'!$E$7=Ersatz_Motor!$C$1,C28,IF('Ersetzen Motoren'!$E$7=Ersatz_Motor!$D$1,D28,IF('Ersetzen Motoren'!$E$7=Ersatz_Motor!$E$1,E28,IF('Ersetzen Motoren'!$E$7=Ersatz_Motor!$F$1,F28,0)))))</f>
        <v>0</v>
      </c>
      <c r="W28" t="b">
        <f>IF(AND('Ersetzen Motoren'!$H$7&lt;A29, 'Ersetzen Motoren'!$H$7&gt;=A28),TRUE)</f>
        <v>0</v>
      </c>
      <c r="X28" s="249">
        <f>IF('Ersetzen Motoren'!$I$7=Ersatz_Motor!$B$1,B28,IF('Ersetzen Motoren'!$I$7=Ersatz_Motor!$C$1,C28,IF('Ersetzen Motoren'!$I$7=Ersatz_Motor!$D$1,D28,IF('Ersetzen Motoren'!$I$7=Ersatz_Motor!$E$1,E28,IF('Ersetzen Motoren'!$I$7=Ersatz_Motor!$F$1,F28,0)))))</f>
        <v>0</v>
      </c>
      <c r="Y28" s="248"/>
      <c r="Z28" t="b">
        <f>IF(AND('Ersetzen Motoren'!$D$8&lt;A29, 'Ersetzen Motoren'!$D$8&gt;=A28),TRUE)</f>
        <v>0</v>
      </c>
      <c r="AA28">
        <f>IF('Ersetzen Motoren'!$E$8=Ersatz_Motor!$B$1,B28,IF('Ersetzen Motoren'!$E$8=Ersatz_Motor!$C$1,C28,IF('Ersetzen Motoren'!$E$8=Ersatz_Motor!$D$1,D28,IF('Ersetzen Motoren'!$E$8=Ersatz_Motor!$E$1,E28,IF('Ersetzen Motoren'!$E$8=Ersatz_Motor!$F$1,F28,0)))))</f>
        <v>0</v>
      </c>
      <c r="AB28" t="b">
        <f>IF(AND('Ersetzen Motoren'!$H$8&lt;A29, 'Ersetzen Motoren'!$H$8&gt;=A28),TRUE)</f>
        <v>0</v>
      </c>
      <c r="AC28" s="249">
        <f>IF('Ersetzen Motoren'!$I$8=Ersatz_Motor!$B$1,B28,IF('Ersetzen Motoren'!$I$8=Ersatz_Motor!$C$1,C28,IF('Ersetzen Motoren'!$I$8=Ersatz_Motor!$D$1,D28,IF('Ersetzen Motoren'!$I$8=Ersatz_Motor!$E$1,E28,IF('Ersetzen Motoren'!$I$8=Ersatz_Motor!$F$1,F28,0)))))</f>
        <v>0</v>
      </c>
      <c r="AD28" s="248"/>
      <c r="AE28" t="b">
        <f>IF(AND('Ersetzen Motoren'!$D$9&lt;A29, 'Ersetzen Motoren'!$D$9&gt;=A28),TRUE)</f>
        <v>0</v>
      </c>
      <c r="AF28">
        <f>IF('Ersetzen Motoren'!$E$9=Ersatz_Motor!$B$1,B28,IF('Ersetzen Motoren'!$E$9=Ersatz_Motor!$C$1,C28,IF('Ersetzen Motoren'!$E$9=Ersatz_Motor!$D$1,D28,IF('Ersetzen Motoren'!$E$9=Ersatz_Motor!$E$1,E28,IF('Ersetzen Motoren'!$E$9=Ersatz_Motor!$F$1,F28,0)))))</f>
        <v>0</v>
      </c>
      <c r="AG28" t="b">
        <f>IF(AND('Ersetzen Motoren'!$H$9&lt;A29, 'Ersetzen Motoren'!$H$9&gt;=A28),TRUE)</f>
        <v>0</v>
      </c>
      <c r="AH28" s="249">
        <f>IF('Ersetzen Motoren'!$I$9=Ersatz_Motor!$B$1,B28,IF('Ersetzen Motoren'!$I$9=Ersatz_Motor!$C$1,C28,IF('Ersetzen Motoren'!$I$9=Ersatz_Motor!$D$1,D28,IF('Ersetzen Motoren'!$I$9=Ersatz_Motor!$E$1,E28,IF('Ersetzen Motoren'!$I$9=Ersatz_Motor!$F$1,F28,0)))))</f>
        <v>0</v>
      </c>
    </row>
    <row r="29" spans="1:34">
      <c r="A29" s="150">
        <v>160</v>
      </c>
      <c r="B29" s="147">
        <v>92.6</v>
      </c>
      <c r="C29" s="147">
        <v>93.8</v>
      </c>
      <c r="D29" s="147">
        <v>94.9</v>
      </c>
      <c r="E29" s="147">
        <v>95.8</v>
      </c>
      <c r="F29" s="148">
        <v>96.6</v>
      </c>
      <c r="G29" t="b">
        <f>IF(AND(Anmeldung!$D$25&lt;A30, Anmeldung!$D$25&gt;=A29),TRUE)</f>
        <v>0</v>
      </c>
      <c r="H29">
        <f>IF(Anmeldung!$I$25=Ersatz_Motor!$B$1,B29,IF(Anmeldung!$I$25=Ersatz_Motor!$C$1,C29,IF(Anmeldung!$I$25=Ersatz_Motor!$D$1,D29,IF(Anmeldung!$I$25=Ersatz_Motor!$E$1,E29,IF(Anmeldung!$I$25=Ersatz_Motor!$F$1,F29,0)))))</f>
        <v>0</v>
      </c>
      <c r="I29">
        <f>IF(Anmeldung!$I$26=Ersatz_Motor!$B$1,B29,IF(Anmeldung!$I$26=Ersatz_Motor!$C$1,C29,IF(Anmeldung!$I$26=Ersatz_Motor!$D$1,D29,IF(Anmeldung!$I$26=Ersatz_Motor!$E$1,E29,IF(Anmeldung!$I$26=Ersatz_Motor!$F$1,F29,0)))))</f>
        <v>0</v>
      </c>
      <c r="J29" s="248"/>
      <c r="K29" t="b">
        <f>IF(AND('Ersetzen Motoren'!$D$5&lt;A30, 'Ersetzen Motoren'!$D$5&gt;=A29),TRUE)</f>
        <v>0</v>
      </c>
      <c r="L29">
        <f>IF('Ersetzen Motoren'!$E$5=Ersatz_Motor!$B$1,B29,IF('Ersetzen Motoren'!$E$5=Ersatz_Motor!$C$1,C29,IF('Ersetzen Motoren'!$E$5=Ersatz_Motor!$D$1,D29,IF('Ersetzen Motoren'!$E$5=Ersatz_Motor!$E$1,E29,IF('Ersetzen Motoren'!$E$5=Ersatz_Motor!$F$1,F29,0)))))</f>
        <v>0</v>
      </c>
      <c r="M29" t="b">
        <f>IF(AND('Ersetzen Motoren'!$H$5&lt;A30, 'Ersetzen Motoren'!$H$5&gt;=A29),TRUE)</f>
        <v>0</v>
      </c>
      <c r="N29" s="249">
        <f>IF('Ersetzen Motoren'!$I$5=Ersatz_Motor!$B$1,B29,IF('Ersetzen Motoren'!$I$5=Ersatz_Motor!$C$1,C29,IF('Ersetzen Motoren'!$I$5=Ersatz_Motor!$D$1,D29,IF('Ersetzen Motoren'!$I$5=Ersatz_Motor!$E$1,E29,IF('Ersetzen Motoren'!$I$5=Ersatz_Motor!$F$1,F29,0)))))</f>
        <v>0</v>
      </c>
      <c r="O29" s="248"/>
      <c r="P29" t="b">
        <f>IF(AND('Ersetzen Motoren'!$D$6&lt;A30, 'Ersetzen Motoren'!$D$6&gt;=A29),TRUE)</f>
        <v>0</v>
      </c>
      <c r="Q29">
        <f>IF('Ersetzen Motoren'!$E$6=Ersatz_Motor!$B$1,B29,IF('Ersetzen Motoren'!$E$6=Ersatz_Motor!$C$1,C29,IF('Ersetzen Motoren'!$E$6=Ersatz_Motor!$D$1,D29,IF('Ersetzen Motoren'!$E$6=Ersatz_Motor!$E$1,E29,IF('Ersetzen Motoren'!$E$6=Ersatz_Motor!$F$1,F29,0)))))</f>
        <v>0</v>
      </c>
      <c r="R29" t="b">
        <f>IF(AND('Ersetzen Motoren'!$H$6&lt;A30, 'Ersetzen Motoren'!$H$6&gt;=A29),TRUE)</f>
        <v>0</v>
      </c>
      <c r="S29" s="249">
        <f>IF('Ersetzen Motoren'!$I$6=Ersatz_Motor!$B$1,B29,IF('Ersetzen Motoren'!$I$6=Ersatz_Motor!$C$1,C29,IF('Ersetzen Motoren'!$I$6=Ersatz_Motor!$D$1,D29,IF('Ersetzen Motoren'!$I$6=Ersatz_Motor!$E$1,E29,IF('Ersetzen Motoren'!$I$6=Ersatz_Motor!$F$1,F29,0)))))</f>
        <v>0</v>
      </c>
      <c r="T29" s="248"/>
      <c r="U29" t="b">
        <f>IF(AND('Ersetzen Motoren'!$D$7&lt;A30, 'Ersetzen Motoren'!$D$7&gt;=A29),TRUE)</f>
        <v>0</v>
      </c>
      <c r="V29">
        <f>IF('Ersetzen Motoren'!$E$7=Ersatz_Motor!$B$1,B29,IF('Ersetzen Motoren'!$E$7=Ersatz_Motor!$C$1,C29,IF('Ersetzen Motoren'!$E$7=Ersatz_Motor!$D$1,D29,IF('Ersetzen Motoren'!$E$7=Ersatz_Motor!$E$1,E29,IF('Ersetzen Motoren'!$E$7=Ersatz_Motor!$F$1,F29,0)))))</f>
        <v>0</v>
      </c>
      <c r="W29" t="b">
        <f>IF(AND('Ersetzen Motoren'!$H$7&lt;A30, 'Ersetzen Motoren'!$H$7&gt;=A29),TRUE)</f>
        <v>0</v>
      </c>
      <c r="X29" s="249">
        <f>IF('Ersetzen Motoren'!$I$7=Ersatz_Motor!$B$1,B29,IF('Ersetzen Motoren'!$I$7=Ersatz_Motor!$C$1,C29,IF('Ersetzen Motoren'!$I$7=Ersatz_Motor!$D$1,D29,IF('Ersetzen Motoren'!$I$7=Ersatz_Motor!$E$1,E29,IF('Ersetzen Motoren'!$I$7=Ersatz_Motor!$F$1,F29,0)))))</f>
        <v>0</v>
      </c>
      <c r="Y29" s="248"/>
      <c r="Z29" t="b">
        <f>IF(AND('Ersetzen Motoren'!$D$8&lt;A30, 'Ersetzen Motoren'!$D$8&gt;=A29),TRUE)</f>
        <v>0</v>
      </c>
      <c r="AA29">
        <f>IF('Ersetzen Motoren'!$E$8=Ersatz_Motor!$B$1,B29,IF('Ersetzen Motoren'!$E$8=Ersatz_Motor!$C$1,C29,IF('Ersetzen Motoren'!$E$8=Ersatz_Motor!$D$1,D29,IF('Ersetzen Motoren'!$E$8=Ersatz_Motor!$E$1,E29,IF('Ersetzen Motoren'!$E$8=Ersatz_Motor!$F$1,F29,0)))))</f>
        <v>0</v>
      </c>
      <c r="AB29" t="b">
        <f>IF(AND('Ersetzen Motoren'!$H$8&lt;A30, 'Ersetzen Motoren'!$H$8&gt;=A29),TRUE)</f>
        <v>0</v>
      </c>
      <c r="AC29" s="249">
        <f>IF('Ersetzen Motoren'!$I$8=Ersatz_Motor!$B$1,B29,IF('Ersetzen Motoren'!$I$8=Ersatz_Motor!$C$1,C29,IF('Ersetzen Motoren'!$I$8=Ersatz_Motor!$D$1,D29,IF('Ersetzen Motoren'!$I$8=Ersatz_Motor!$E$1,E29,IF('Ersetzen Motoren'!$I$8=Ersatz_Motor!$F$1,F29,0)))))</f>
        <v>0</v>
      </c>
      <c r="AD29" s="248"/>
      <c r="AE29" t="b">
        <f>IF(AND('Ersetzen Motoren'!$D$9&lt;A30, 'Ersetzen Motoren'!$D$9&gt;=A29),TRUE)</f>
        <v>0</v>
      </c>
      <c r="AF29">
        <f>IF('Ersetzen Motoren'!$E$9=Ersatz_Motor!$B$1,B29,IF('Ersetzen Motoren'!$E$9=Ersatz_Motor!$C$1,C29,IF('Ersetzen Motoren'!$E$9=Ersatz_Motor!$D$1,D29,IF('Ersetzen Motoren'!$E$9=Ersatz_Motor!$E$1,E29,IF('Ersetzen Motoren'!$E$9=Ersatz_Motor!$F$1,F29,0)))))</f>
        <v>0</v>
      </c>
      <c r="AG29" t="b">
        <f>IF(AND('Ersetzen Motoren'!$H$9&lt;A30, 'Ersetzen Motoren'!$H$9&gt;=A29),TRUE)</f>
        <v>0</v>
      </c>
      <c r="AH29" s="249">
        <f>IF('Ersetzen Motoren'!$I$9=Ersatz_Motor!$B$1,B29,IF('Ersetzen Motoren'!$I$9=Ersatz_Motor!$C$1,C29,IF('Ersetzen Motoren'!$I$9=Ersatz_Motor!$D$1,D29,IF('Ersetzen Motoren'!$I$9=Ersatz_Motor!$E$1,E29,IF('Ersetzen Motoren'!$I$9=Ersatz_Motor!$F$1,F29,0)))))</f>
        <v>0</v>
      </c>
    </row>
    <row r="30" spans="1:34" ht="15.75" thickBot="1">
      <c r="A30" s="151">
        <v>1000</v>
      </c>
      <c r="B30" s="152">
        <v>92.8</v>
      </c>
      <c r="C30" s="152">
        <v>94</v>
      </c>
      <c r="D30" s="152">
        <v>95.1</v>
      </c>
      <c r="E30" s="152">
        <v>96</v>
      </c>
      <c r="F30" s="153">
        <v>96.7</v>
      </c>
      <c r="G30" t="b">
        <f>IF(AND(Anmeldung!$D$25&lt;A31, Anmeldung!$D$25&gt;=A30),TRUE)</f>
        <v>0</v>
      </c>
      <c r="H30">
        <f>IF(Anmeldung!$I$25=Ersatz_Motor!$B$1,B30,IF(Anmeldung!$I$25=Ersatz_Motor!$C$1,C30,IF(Anmeldung!$I$25=Ersatz_Motor!$D$1,D30,IF(Anmeldung!$I$25=Ersatz_Motor!$E$1,E30,IF(Anmeldung!$I$25=Ersatz_Motor!$F$1,F30,0)))))</f>
        <v>0</v>
      </c>
      <c r="I30">
        <f>IF(Anmeldung!$I$26=Ersatz_Motor!$B$1,B30,IF(Anmeldung!$I$26=Ersatz_Motor!$C$1,C30,IF(Anmeldung!$I$26=Ersatz_Motor!$D$1,D30,IF(Anmeldung!$I$26=Ersatz_Motor!$E$1,E30,IF(Anmeldung!$I$26=Ersatz_Motor!$F$1,F30,0)))))</f>
        <v>0</v>
      </c>
      <c r="J30" s="250"/>
      <c r="K30" s="251" t="b">
        <f>IF(AND('Ersetzen Motoren'!$D$5&lt;A31, 'Ersetzen Motoren'!$D$5&gt;=A30),TRUE)</f>
        <v>0</v>
      </c>
      <c r="L30">
        <f>IF('Ersetzen Motoren'!$E$5=Ersatz_Motor!$B$1,B30,IF('Ersetzen Motoren'!$E$5=Ersatz_Motor!$C$1,C30,IF('Ersetzen Motoren'!$E$5=Ersatz_Motor!$D$1,D30,IF('Ersetzen Motoren'!$E$5=Ersatz_Motor!$E$1,E30,IF('Ersetzen Motoren'!$E$5=Ersatz_Motor!$F$1,F30,0)))))</f>
        <v>0</v>
      </c>
      <c r="M30" s="251" t="b">
        <f>IF(AND('Ersetzen Motoren'!$H$5&lt;A31, 'Ersetzen Motoren'!$H$5&gt;=A30),TRUE)</f>
        <v>0</v>
      </c>
      <c r="N30" s="252">
        <f>IF('Ersetzen Motoren'!$I$5=Ersatz_Motor!$B$1,B30,IF('Ersetzen Motoren'!$I$5=Ersatz_Motor!$C$1,C30,IF('Ersetzen Motoren'!$I$5=Ersatz_Motor!$D$1,D30,IF('Ersetzen Motoren'!$I$5=Ersatz_Motor!$E$1,E30,IF('Ersetzen Motoren'!$I$5=Ersatz_Motor!$F$1,F30,0)))))</f>
        <v>0</v>
      </c>
      <c r="O30" s="250"/>
      <c r="P30" t="b">
        <f>IF(AND('Ersetzen Motoren'!$D$6&lt;A31, 'Ersetzen Motoren'!$D$6&gt;=A30),TRUE)</f>
        <v>0</v>
      </c>
      <c r="Q30">
        <f>IF('Ersetzen Motoren'!$E$6=Ersatz_Motor!$B$1,B30,IF('Ersetzen Motoren'!$E$6=Ersatz_Motor!$C$1,C30,IF('Ersetzen Motoren'!$E$6=Ersatz_Motor!$D$1,D30,IF('Ersetzen Motoren'!$E$6=Ersatz_Motor!$E$1,E30,IF('Ersetzen Motoren'!$E$6=Ersatz_Motor!$F$1,F30,0)))))</f>
        <v>0</v>
      </c>
      <c r="R30" t="b">
        <f>IF(AND('Ersetzen Motoren'!$H$6&lt;A31, 'Ersetzen Motoren'!$H$6&gt;=A30),TRUE)</f>
        <v>0</v>
      </c>
      <c r="S30" s="249">
        <f>IF('Ersetzen Motoren'!$I$6=Ersatz_Motor!$B$1,B30,IF('Ersetzen Motoren'!$I$6=Ersatz_Motor!$C$1,C30,IF('Ersetzen Motoren'!$I$6=Ersatz_Motor!$D$1,D30,IF('Ersetzen Motoren'!$I$6=Ersatz_Motor!$E$1,E30,IF('Ersetzen Motoren'!$I$6=Ersatz_Motor!$F$1,F30,0)))))</f>
        <v>0</v>
      </c>
      <c r="T30" s="250"/>
      <c r="U30" t="b">
        <f>IF(AND('Ersetzen Motoren'!$D$7&lt;A31, 'Ersetzen Motoren'!$D$7&gt;=A30),TRUE)</f>
        <v>0</v>
      </c>
      <c r="V30">
        <f>IF('Ersetzen Motoren'!$E$7=Ersatz_Motor!$B$1,B30,IF('Ersetzen Motoren'!$E$7=Ersatz_Motor!$C$1,C30,IF('Ersetzen Motoren'!$E$7=Ersatz_Motor!$D$1,D30,IF('Ersetzen Motoren'!$E$7=Ersatz_Motor!$E$1,E30,IF('Ersetzen Motoren'!$E$7=Ersatz_Motor!$F$1,F30,0)))))</f>
        <v>0</v>
      </c>
      <c r="W30" t="b">
        <f>IF(AND('Ersetzen Motoren'!$H$7&lt;A31, 'Ersetzen Motoren'!$H$7&gt;=A30),TRUE)</f>
        <v>0</v>
      </c>
      <c r="X30" s="249">
        <f>IF('Ersetzen Motoren'!$I$7=Ersatz_Motor!$B$1,B30,IF('Ersetzen Motoren'!$I$7=Ersatz_Motor!$C$1,C30,IF('Ersetzen Motoren'!$I$7=Ersatz_Motor!$D$1,D30,IF('Ersetzen Motoren'!$I$7=Ersatz_Motor!$E$1,E30,IF('Ersetzen Motoren'!$I$7=Ersatz_Motor!$F$1,F30,0)))))</f>
        <v>0</v>
      </c>
      <c r="Y30" s="250"/>
      <c r="Z30" t="b">
        <f>IF(AND('Ersetzen Motoren'!$D$8&lt;A31, 'Ersetzen Motoren'!$D$8&gt;=A30),TRUE)</f>
        <v>0</v>
      </c>
      <c r="AA30">
        <f>IF('Ersetzen Motoren'!$E$8=Ersatz_Motor!$B$1,B30,IF('Ersetzen Motoren'!$E$8=Ersatz_Motor!$C$1,C30,IF('Ersetzen Motoren'!$E$8=Ersatz_Motor!$D$1,D30,IF('Ersetzen Motoren'!$E$8=Ersatz_Motor!$E$1,E30,IF('Ersetzen Motoren'!$E$8=Ersatz_Motor!$F$1,F30,0)))))</f>
        <v>0</v>
      </c>
      <c r="AB30" t="b">
        <f>IF(AND('Ersetzen Motoren'!$H$8&lt;A31, 'Ersetzen Motoren'!$H$8&gt;=A30),TRUE)</f>
        <v>0</v>
      </c>
      <c r="AC30" s="249">
        <f>IF('Ersetzen Motoren'!$I$8=Ersatz_Motor!$B$1,B30,IF('Ersetzen Motoren'!$I$8=Ersatz_Motor!$C$1,C30,IF('Ersetzen Motoren'!$I$8=Ersatz_Motor!$D$1,D30,IF('Ersetzen Motoren'!$I$8=Ersatz_Motor!$E$1,E30,IF('Ersetzen Motoren'!$I$8=Ersatz_Motor!$F$1,F30,0)))))</f>
        <v>0</v>
      </c>
      <c r="AD30" s="250"/>
      <c r="AE30" t="b">
        <f>IF(AND('Ersetzen Motoren'!$D$9&lt;A31, 'Ersetzen Motoren'!$D$9&gt;=A30),TRUE)</f>
        <v>0</v>
      </c>
      <c r="AF30">
        <f>IF('Ersetzen Motoren'!$E$9=Ersatz_Motor!$B$1,B30,IF('Ersetzen Motoren'!$E$9=Ersatz_Motor!$C$1,C30,IF('Ersetzen Motoren'!$E$9=Ersatz_Motor!$D$1,D30,IF('Ersetzen Motoren'!$E$9=Ersatz_Motor!$E$1,E30,IF('Ersetzen Motoren'!$E$9=Ersatz_Motor!$F$1,F30,0)))))</f>
        <v>0</v>
      </c>
      <c r="AG30" t="b">
        <f>IF(AND('Ersetzen Motoren'!$H$9&lt;A31, 'Ersetzen Motoren'!$H$9&gt;=A30),TRUE)</f>
        <v>0</v>
      </c>
      <c r="AH30" s="249">
        <f>IF('Ersetzen Motoren'!$I$9=Ersatz_Motor!$B$1,B30,IF('Ersetzen Motoren'!$I$9=Ersatz_Motor!$C$1,C30,IF('Ersetzen Motoren'!$I$9=Ersatz_Motor!$D$1,D30,IF('Ersetzen Motoren'!$I$9=Ersatz_Motor!$E$1,E30,IF('Ersetzen Motoren'!$I$9=Ersatz_Motor!$F$1,F30,0)))))</f>
        <v>0</v>
      </c>
    </row>
  </sheetData>
  <conditionalFormatting sqref="A17:A30">
    <cfRule type="cellIs" dxfId="43" priority="1" operator="between">
      <formula>$D$42</formula>
      <formula>$H$6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D4E8F-9529-4ED4-A745-BDF75A56D3EF}">
  <dimension ref="A1:N17"/>
  <sheetViews>
    <sheetView workbookViewId="0">
      <selection activeCell="K23" sqref="K23"/>
    </sheetView>
  </sheetViews>
  <sheetFormatPr baseColWidth="10" defaultRowHeight="15"/>
  <cols>
    <col min="1" max="1" width="14.85546875" bestFit="1" customWidth="1"/>
    <col min="6" max="6" width="14.85546875" bestFit="1" customWidth="1"/>
  </cols>
  <sheetData>
    <row r="1" spans="1:14">
      <c r="A1" t="s">
        <v>397</v>
      </c>
      <c r="D1" t="s">
        <v>398</v>
      </c>
      <c r="E1" t="s">
        <v>255</v>
      </c>
      <c r="F1" t="s">
        <v>399</v>
      </c>
      <c r="I1" t="s">
        <v>361</v>
      </c>
    </row>
    <row r="2" spans="1:14">
      <c r="A2" t="s">
        <v>394</v>
      </c>
      <c r="B2">
        <v>0.97</v>
      </c>
      <c r="D2">
        <v>1</v>
      </c>
      <c r="E2" t="b">
        <f>IF( AND(Anmeldung!$D$25&lt;=D3,Anmeldung!$D$25&gt;=D2),TRUE)</f>
        <v>0</v>
      </c>
      <c r="F2">
        <v>72</v>
      </c>
      <c r="I2" s="189"/>
      <c r="J2" s="190"/>
      <c r="K2" s="190"/>
      <c r="L2" s="190"/>
      <c r="M2" s="190"/>
      <c r="N2" s="191"/>
    </row>
    <row r="3" spans="1:14">
      <c r="A3" t="s">
        <v>395</v>
      </c>
      <c r="B3">
        <v>0.94</v>
      </c>
      <c r="D3">
        <v>4</v>
      </c>
      <c r="E3" t="b">
        <f>IF( AND(Anmeldung!$D$25&lt;=D4,Anmeldung!$D$25&gt;=D3),TRUE)</f>
        <v>0</v>
      </c>
      <c r="F3">
        <v>77</v>
      </c>
      <c r="I3" s="192" t="s">
        <v>362</v>
      </c>
      <c r="J3" t="s">
        <v>363</v>
      </c>
      <c r="K3" t="s">
        <v>364</v>
      </c>
      <c r="M3" t="s">
        <v>365</v>
      </c>
      <c r="N3" s="193"/>
    </row>
    <row r="4" spans="1:14">
      <c r="A4" t="s">
        <v>396</v>
      </c>
      <c r="B4">
        <v>1</v>
      </c>
      <c r="D4">
        <v>10</v>
      </c>
      <c r="E4" t="b">
        <f>IF( AND(Anmeldung!$D$25&lt;=D5,Anmeldung!$D$25&gt;=D4),TRUE)</f>
        <v>0</v>
      </c>
      <c r="F4">
        <v>80</v>
      </c>
      <c r="I4" s="192">
        <v>0</v>
      </c>
      <c r="N4" s="193"/>
    </row>
    <row r="5" spans="1:14">
      <c r="D5">
        <v>20</v>
      </c>
      <c r="E5" t="b">
        <f>IF( AND(Anmeldung!$D$25&lt;=D6,Anmeldung!$D$25&gt;=D5),TRUE)</f>
        <v>0</v>
      </c>
      <c r="F5">
        <v>81</v>
      </c>
      <c r="I5" s="194">
        <v>100</v>
      </c>
      <c r="J5">
        <v>0.04</v>
      </c>
      <c r="K5">
        <v>0.25</v>
      </c>
      <c r="L5" t="b">
        <f>IF(AND(Anmeldung!$D$26&lt;I6, Anmeldung!$D$26&gt;=I5),TRUE)</f>
        <v>0</v>
      </c>
      <c r="M5">
        <v>0.25</v>
      </c>
      <c r="N5" s="193"/>
    </row>
    <row r="6" spans="1:14">
      <c r="D6">
        <v>70</v>
      </c>
      <c r="E6" t="b">
        <f>IF( AND(Anmeldung!$D$25&lt;=D7,Anmeldung!$D$25&gt;=D6),TRUE)</f>
        <v>0</v>
      </c>
      <c r="F6">
        <v>85</v>
      </c>
      <c r="I6" s="192">
        <v>250</v>
      </c>
      <c r="J6">
        <v>0.2</v>
      </c>
      <c r="K6">
        <v>0.4</v>
      </c>
      <c r="L6" t="b">
        <f>IF(AND(Anmeldung!$D$26&lt;I7, Anmeldung!$D$26&gt;=I6),TRUE)</f>
        <v>0</v>
      </c>
      <c r="M6">
        <v>0.4</v>
      </c>
      <c r="N6" s="193"/>
    </row>
    <row r="7" spans="1:14">
      <c r="D7">
        <v>1000</v>
      </c>
      <c r="I7" s="192">
        <v>500</v>
      </c>
      <c r="J7">
        <v>0.3</v>
      </c>
      <c r="K7">
        <v>0.48</v>
      </c>
      <c r="L7" t="b">
        <f>IF(AND(Anmeldung!$D$26&lt;I8, Anmeldung!$D$26&gt;=I7),TRUE)</f>
        <v>0</v>
      </c>
      <c r="M7">
        <v>0.48</v>
      </c>
      <c r="N7" s="193"/>
    </row>
    <row r="8" spans="1:14">
      <c r="I8" s="192">
        <v>1000</v>
      </c>
      <c r="J8">
        <v>0.4</v>
      </c>
      <c r="K8">
        <v>0.55000000000000004</v>
      </c>
      <c r="L8" t="b">
        <f>IF(AND(Anmeldung!$D$26&lt;I9, Anmeldung!$D$26&gt;=I8),TRUE)</f>
        <v>0</v>
      </c>
      <c r="M8">
        <v>0.55000000000000004</v>
      </c>
      <c r="N8" s="193"/>
    </row>
    <row r="9" spans="1:14">
      <c r="I9" s="192">
        <v>2500</v>
      </c>
      <c r="J9">
        <v>0.5</v>
      </c>
      <c r="K9">
        <v>0.64</v>
      </c>
      <c r="L9" t="b">
        <f>IF(AND(Anmeldung!$D$26&lt;I10, Anmeldung!$D$26&gt;=I9),TRUE)</f>
        <v>0</v>
      </c>
      <c r="M9">
        <v>0.64</v>
      </c>
      <c r="N9" s="193"/>
    </row>
    <row r="10" spans="1:14">
      <c r="I10" s="192">
        <v>5000</v>
      </c>
      <c r="J10">
        <v>0.56000000000000005</v>
      </c>
      <c r="K10">
        <v>0.7</v>
      </c>
      <c r="L10" t="b">
        <f>IF(AND(Anmeldung!$D$26&lt;I11, Anmeldung!$D$26&gt;=I10),TRUE)</f>
        <v>0</v>
      </c>
      <c r="M10">
        <v>0.7</v>
      </c>
      <c r="N10" s="193"/>
    </row>
    <row r="11" spans="1:14">
      <c r="I11" s="192">
        <v>10000</v>
      </c>
      <c r="J11">
        <v>0.63</v>
      </c>
      <c r="K11">
        <v>0.77</v>
      </c>
      <c r="L11" t="b">
        <f>IF(AND(Anmeldung!$D$26&lt;I12, Anmeldung!$D$26&gt;=I11),TRUE)</f>
        <v>0</v>
      </c>
      <c r="M11">
        <v>0.77</v>
      </c>
      <c r="N11" s="193"/>
    </row>
    <row r="12" spans="1:14">
      <c r="I12" s="192">
        <v>15000</v>
      </c>
      <c r="J12">
        <v>0.67</v>
      </c>
      <c r="K12">
        <v>0.82</v>
      </c>
      <c r="L12" t="b">
        <f>IF(AND(Anmeldung!$D$26&lt;I13, Anmeldung!$D$26&gt;=I12),TRUE)</f>
        <v>0</v>
      </c>
      <c r="M12">
        <v>0.82</v>
      </c>
      <c r="N12" s="193"/>
    </row>
    <row r="13" spans="1:14">
      <c r="I13" s="194">
        <v>20000</v>
      </c>
      <c r="J13">
        <v>0.7</v>
      </c>
      <c r="K13">
        <v>0.85</v>
      </c>
      <c r="L13" t="b">
        <f>IF(AND(Anmeldung!$D$26&lt;I14, Anmeldung!$D$26&gt;=I13),TRUE)</f>
        <v>0</v>
      </c>
      <c r="M13">
        <v>0.85</v>
      </c>
      <c r="N13" s="193"/>
    </row>
    <row r="14" spans="1:14">
      <c r="I14" s="192">
        <v>1000000</v>
      </c>
      <c r="M14" s="195"/>
      <c r="N14" s="193"/>
    </row>
    <row r="15" spans="1:14">
      <c r="I15" s="196"/>
      <c r="J15" s="197"/>
      <c r="K15" s="197"/>
      <c r="L15" s="197"/>
      <c r="M15" s="198"/>
      <c r="N15" s="199"/>
    </row>
    <row r="17" spans="9:11">
      <c r="I17" t="s">
        <v>366</v>
      </c>
      <c r="K17" t="e">
        <f>VLOOKUP(TRUE,$L$5:$M$13,2,FALSE)</f>
        <v>#N/A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A3143-07D2-4AEF-86BB-99FB02A2ED6E}">
  <dimension ref="A1:U28"/>
  <sheetViews>
    <sheetView workbookViewId="0">
      <selection activeCell="C4" sqref="C4"/>
    </sheetView>
  </sheetViews>
  <sheetFormatPr baseColWidth="10" defaultColWidth="11.42578125" defaultRowHeight="12.75"/>
  <cols>
    <col min="1" max="1" width="2.5703125" style="117" customWidth="1"/>
    <col min="2" max="2" width="17.7109375" style="117" customWidth="1"/>
    <col min="3" max="3" width="37.42578125" style="117" customWidth="1"/>
    <col min="4" max="4" width="8.7109375" style="117" customWidth="1"/>
    <col min="5" max="8" width="16.7109375" style="117" customWidth="1"/>
    <col min="9" max="9" width="26.85546875" style="117" customWidth="1"/>
    <col min="10" max="10" width="9.5703125" style="117" customWidth="1"/>
    <col min="11" max="12" width="8.7109375" style="117" customWidth="1"/>
    <col min="13" max="13" width="9.5703125" style="117" customWidth="1"/>
    <col min="14" max="14" width="8.5703125" style="117" customWidth="1"/>
    <col min="15" max="15" width="16.7109375" style="117" customWidth="1"/>
    <col min="16" max="16" width="11.28515625" style="179" hidden="1" customWidth="1"/>
    <col min="17" max="17" width="9.7109375" style="117" customWidth="1"/>
    <col min="18" max="18" width="10.140625" style="179" hidden="1" customWidth="1"/>
    <col min="19" max="19" width="7.42578125" style="117" hidden="1" customWidth="1"/>
    <col min="20" max="20" width="8.7109375" style="117" customWidth="1"/>
    <col min="21" max="16384" width="11.42578125" style="117"/>
  </cols>
  <sheetData>
    <row r="1" spans="1:21" ht="20.100000000000001" customHeight="1" thickBot="1">
      <c r="A1" s="88"/>
      <c r="B1" s="88"/>
      <c r="C1" s="156"/>
      <c r="D1" s="88"/>
      <c r="E1" s="88"/>
      <c r="F1" s="88"/>
      <c r="G1" s="88"/>
      <c r="H1" s="88"/>
      <c r="I1" s="88"/>
      <c r="J1" s="88"/>
      <c r="K1" s="154"/>
      <c r="L1" s="154"/>
      <c r="M1" s="154"/>
      <c r="N1" s="154"/>
      <c r="O1" s="154"/>
      <c r="P1" s="157" t="s">
        <v>342</v>
      </c>
      <c r="Q1" s="154"/>
      <c r="R1" s="157" t="s">
        <v>343</v>
      </c>
      <c r="S1" s="154"/>
    </row>
    <row r="2" spans="1:21" s="90" customFormat="1" ht="20.100000000000001" customHeight="1" thickBot="1">
      <c r="A2" s="88"/>
      <c r="B2" s="332" t="s">
        <v>307</v>
      </c>
      <c r="C2" s="330"/>
      <c r="D2" s="332" t="s">
        <v>344</v>
      </c>
      <c r="E2" s="330"/>
      <c r="F2" s="330"/>
      <c r="G2" s="330"/>
      <c r="H2" s="330"/>
      <c r="I2" s="330"/>
      <c r="J2" s="330"/>
      <c r="K2" s="332" t="s">
        <v>345</v>
      </c>
      <c r="L2" s="330"/>
      <c r="M2" s="330"/>
      <c r="N2" s="330"/>
      <c r="O2" s="330"/>
      <c r="P2" s="330"/>
      <c r="Q2" s="331"/>
      <c r="R2" s="158"/>
      <c r="S2" s="159"/>
      <c r="T2" s="103"/>
    </row>
    <row r="3" spans="1:21" s="103" customFormat="1" ht="54.75" customHeight="1">
      <c r="A3" s="88"/>
      <c r="B3" s="160" t="s">
        <v>346</v>
      </c>
      <c r="C3" s="161" t="s">
        <v>347</v>
      </c>
      <c r="D3" s="333" t="s">
        <v>348</v>
      </c>
      <c r="E3" s="334"/>
      <c r="F3" s="162" t="s">
        <v>470</v>
      </c>
      <c r="G3" s="162" t="s">
        <v>477</v>
      </c>
      <c r="H3" s="162" t="s">
        <v>349</v>
      </c>
      <c r="I3" s="161" t="s">
        <v>350</v>
      </c>
      <c r="J3" s="161" t="s">
        <v>326</v>
      </c>
      <c r="K3" s="163" t="s">
        <v>351</v>
      </c>
      <c r="L3" s="164" t="s">
        <v>352</v>
      </c>
      <c r="M3" s="164" t="s">
        <v>469</v>
      </c>
      <c r="N3" s="165" t="s">
        <v>349</v>
      </c>
      <c r="O3" s="164" t="s">
        <v>353</v>
      </c>
      <c r="P3" s="166" t="s">
        <v>354</v>
      </c>
      <c r="Q3" s="167" t="s">
        <v>355</v>
      </c>
      <c r="R3" s="168" t="s">
        <v>356</v>
      </c>
      <c r="S3" s="159" t="s">
        <v>368</v>
      </c>
      <c r="U3" s="90"/>
    </row>
    <row r="4" spans="1:21" ht="20.100000000000001" customHeight="1">
      <c r="A4" s="88"/>
      <c r="B4" s="104"/>
      <c r="C4" s="169"/>
      <c r="D4" s="335" t="s">
        <v>256</v>
      </c>
      <c r="E4" s="336"/>
      <c r="F4" s="229" t="s">
        <v>256</v>
      </c>
      <c r="G4" s="232">
        <v>1</v>
      </c>
      <c r="H4" s="170">
        <v>0</v>
      </c>
      <c r="I4" s="169">
        <v>0</v>
      </c>
      <c r="J4" s="171">
        <f>H4*I4*C4/1000*IF(F4="Stufenschaltung",0.75,IF(F4="Drosselschaltung",MIN((-0.0019*(G4*100)^2+0.688*(G4*100)+50.86)/100,1),1))</f>
        <v>0</v>
      </c>
      <c r="K4" s="104"/>
      <c r="L4" s="112" t="s">
        <v>333</v>
      </c>
      <c r="M4" s="232">
        <v>0</v>
      </c>
      <c r="N4" s="170">
        <v>0</v>
      </c>
      <c r="O4" s="169">
        <v>0</v>
      </c>
      <c r="P4" s="172">
        <f>IF(L4="Ja",1,0)</f>
        <v>0</v>
      </c>
      <c r="Q4" s="173">
        <f>C4*N4*O4/1000*P4*IF(M4&gt;0,(0.0001*(G4*100-M4*100)^3-0.0045*(G4*100-M4*100)^2+0.4353*(G4*100-M4*100)-0.0586)/100,1)</f>
        <v>0</v>
      </c>
      <c r="R4" s="174">
        <f t="shared" ref="R4:R13" si="0">(J4-Q4)*P4</f>
        <v>0</v>
      </c>
      <c r="S4" s="154">
        <f>J4*P4</f>
        <v>0</v>
      </c>
      <c r="U4" s="175"/>
    </row>
    <row r="5" spans="1:21" ht="20.100000000000001" customHeight="1">
      <c r="A5" s="88"/>
      <c r="B5" s="104"/>
      <c r="C5" s="169"/>
      <c r="D5" s="335" t="s">
        <v>256</v>
      </c>
      <c r="E5" s="336"/>
      <c r="F5" s="229" t="s">
        <v>256</v>
      </c>
      <c r="G5" s="232">
        <v>1</v>
      </c>
      <c r="H5" s="170">
        <v>0</v>
      </c>
      <c r="I5" s="169">
        <v>0</v>
      </c>
      <c r="J5" s="171">
        <f t="shared" ref="J5:J13" si="1">H5*I5*C5/1000*IF(F5="Stufenschaltung",0.75,IF(F5="Drosselschaltung",MIN((-0.0019*(G5*100)^2+0.688*(G5*100)+50.86)/100,1),1))</f>
        <v>0</v>
      </c>
      <c r="K5" s="104"/>
      <c r="L5" s="112" t="s">
        <v>333</v>
      </c>
      <c r="M5" s="232">
        <v>0</v>
      </c>
      <c r="N5" s="170">
        <v>0</v>
      </c>
      <c r="O5" s="169">
        <v>0</v>
      </c>
      <c r="P5" s="172">
        <f t="shared" ref="P5:P13" si="2">IF(L5="Ja",1,0)</f>
        <v>0</v>
      </c>
      <c r="Q5" s="173">
        <f t="shared" ref="Q5:Q13" si="3">C5*N5*O5/1000*P5*IF(M5&gt;0,(0.0001*(G5*100-M5*100)^3-0.0045*(G5*100-M5*100)^2+0.4353*(G5*100-M5*100)-0.0586)/100,1)</f>
        <v>0</v>
      </c>
      <c r="R5" s="174">
        <f t="shared" si="0"/>
        <v>0</v>
      </c>
      <c r="S5" s="154">
        <f t="shared" ref="S5:S13" si="4">J5*P5</f>
        <v>0</v>
      </c>
      <c r="U5" s="175"/>
    </row>
    <row r="6" spans="1:21" ht="20.100000000000001" customHeight="1">
      <c r="A6" s="88"/>
      <c r="B6" s="104"/>
      <c r="C6" s="169"/>
      <c r="D6" s="335" t="s">
        <v>256</v>
      </c>
      <c r="E6" s="336"/>
      <c r="F6" s="229" t="s">
        <v>256</v>
      </c>
      <c r="G6" s="232">
        <v>1</v>
      </c>
      <c r="H6" s="170">
        <v>0</v>
      </c>
      <c r="I6" s="169">
        <v>0</v>
      </c>
      <c r="J6" s="171">
        <f t="shared" si="1"/>
        <v>0</v>
      </c>
      <c r="K6" s="104"/>
      <c r="L6" s="112" t="s">
        <v>333</v>
      </c>
      <c r="M6" s="232">
        <v>0</v>
      </c>
      <c r="N6" s="170">
        <v>0</v>
      </c>
      <c r="O6" s="169">
        <v>0</v>
      </c>
      <c r="P6" s="172">
        <f t="shared" si="2"/>
        <v>0</v>
      </c>
      <c r="Q6" s="173">
        <f t="shared" si="3"/>
        <v>0</v>
      </c>
      <c r="R6" s="174">
        <f t="shared" si="0"/>
        <v>0</v>
      </c>
      <c r="S6" s="154">
        <f t="shared" si="4"/>
        <v>0</v>
      </c>
      <c r="U6" s="175"/>
    </row>
    <row r="7" spans="1:21" ht="20.100000000000001" customHeight="1">
      <c r="A7" s="88"/>
      <c r="B7" s="104"/>
      <c r="C7" s="169"/>
      <c r="D7" s="335" t="s">
        <v>256</v>
      </c>
      <c r="E7" s="336"/>
      <c r="F7" s="229" t="s">
        <v>256</v>
      </c>
      <c r="G7" s="232">
        <v>1</v>
      </c>
      <c r="H7" s="170">
        <v>0</v>
      </c>
      <c r="I7" s="169">
        <v>0</v>
      </c>
      <c r="J7" s="171">
        <f t="shared" si="1"/>
        <v>0</v>
      </c>
      <c r="K7" s="104"/>
      <c r="L7" s="112" t="s">
        <v>333</v>
      </c>
      <c r="M7" s="232">
        <v>0</v>
      </c>
      <c r="N7" s="170">
        <v>0</v>
      </c>
      <c r="O7" s="169">
        <v>0</v>
      </c>
      <c r="P7" s="172">
        <f t="shared" si="2"/>
        <v>0</v>
      </c>
      <c r="Q7" s="173">
        <f t="shared" si="3"/>
        <v>0</v>
      </c>
      <c r="R7" s="174">
        <f t="shared" si="0"/>
        <v>0</v>
      </c>
      <c r="S7" s="154">
        <f t="shared" si="4"/>
        <v>0</v>
      </c>
      <c r="U7" s="175"/>
    </row>
    <row r="8" spans="1:21" ht="20.100000000000001" customHeight="1">
      <c r="A8" s="88"/>
      <c r="B8" s="104"/>
      <c r="C8" s="169"/>
      <c r="D8" s="335" t="s">
        <v>256</v>
      </c>
      <c r="E8" s="336"/>
      <c r="F8" s="229" t="s">
        <v>256</v>
      </c>
      <c r="G8" s="232">
        <v>1</v>
      </c>
      <c r="H8" s="170">
        <v>0</v>
      </c>
      <c r="I8" s="169">
        <v>0</v>
      </c>
      <c r="J8" s="171">
        <f t="shared" si="1"/>
        <v>0</v>
      </c>
      <c r="K8" s="104"/>
      <c r="L8" s="112" t="s">
        <v>333</v>
      </c>
      <c r="M8" s="232">
        <v>0</v>
      </c>
      <c r="N8" s="170">
        <v>0</v>
      </c>
      <c r="O8" s="169">
        <v>0</v>
      </c>
      <c r="P8" s="172">
        <f t="shared" si="2"/>
        <v>0</v>
      </c>
      <c r="Q8" s="173">
        <f t="shared" si="3"/>
        <v>0</v>
      </c>
      <c r="R8" s="174">
        <f t="shared" si="0"/>
        <v>0</v>
      </c>
      <c r="S8" s="154">
        <f t="shared" si="4"/>
        <v>0</v>
      </c>
      <c r="U8" s="175"/>
    </row>
    <row r="9" spans="1:21" ht="20.100000000000001" customHeight="1">
      <c r="A9" s="88"/>
      <c r="B9" s="104"/>
      <c r="C9" s="169"/>
      <c r="D9" s="335" t="s">
        <v>256</v>
      </c>
      <c r="E9" s="336"/>
      <c r="F9" s="229" t="s">
        <v>256</v>
      </c>
      <c r="G9" s="232">
        <v>1</v>
      </c>
      <c r="H9" s="170">
        <v>0</v>
      </c>
      <c r="I9" s="169">
        <v>0</v>
      </c>
      <c r="J9" s="171">
        <f t="shared" si="1"/>
        <v>0</v>
      </c>
      <c r="K9" s="104"/>
      <c r="L9" s="112" t="s">
        <v>333</v>
      </c>
      <c r="M9" s="232">
        <v>0</v>
      </c>
      <c r="N9" s="170">
        <v>0</v>
      </c>
      <c r="O9" s="169">
        <v>0</v>
      </c>
      <c r="P9" s="172">
        <f t="shared" si="2"/>
        <v>0</v>
      </c>
      <c r="Q9" s="173">
        <f t="shared" si="3"/>
        <v>0</v>
      </c>
      <c r="R9" s="174">
        <f t="shared" si="0"/>
        <v>0</v>
      </c>
      <c r="S9" s="154">
        <f t="shared" si="4"/>
        <v>0</v>
      </c>
      <c r="U9" s="175"/>
    </row>
    <row r="10" spans="1:21" ht="20.100000000000001" customHeight="1">
      <c r="A10" s="88"/>
      <c r="B10" s="104"/>
      <c r="C10" s="169"/>
      <c r="D10" s="335" t="s">
        <v>256</v>
      </c>
      <c r="E10" s="336"/>
      <c r="F10" s="229" t="s">
        <v>256</v>
      </c>
      <c r="G10" s="232">
        <v>1</v>
      </c>
      <c r="H10" s="170">
        <v>0</v>
      </c>
      <c r="I10" s="169">
        <v>0</v>
      </c>
      <c r="J10" s="171">
        <f t="shared" si="1"/>
        <v>0</v>
      </c>
      <c r="K10" s="104"/>
      <c r="L10" s="112" t="s">
        <v>333</v>
      </c>
      <c r="M10" s="232">
        <v>0</v>
      </c>
      <c r="N10" s="170">
        <v>0</v>
      </c>
      <c r="O10" s="169">
        <v>0</v>
      </c>
      <c r="P10" s="172">
        <f t="shared" si="2"/>
        <v>0</v>
      </c>
      <c r="Q10" s="173">
        <f t="shared" si="3"/>
        <v>0</v>
      </c>
      <c r="R10" s="174">
        <f t="shared" si="0"/>
        <v>0</v>
      </c>
      <c r="S10" s="154">
        <f t="shared" si="4"/>
        <v>0</v>
      </c>
      <c r="U10" s="175"/>
    </row>
    <row r="11" spans="1:21" ht="20.100000000000001" customHeight="1">
      <c r="A11" s="88"/>
      <c r="B11" s="104"/>
      <c r="C11" s="169"/>
      <c r="D11" s="335" t="s">
        <v>256</v>
      </c>
      <c r="E11" s="336"/>
      <c r="F11" s="229" t="s">
        <v>256</v>
      </c>
      <c r="G11" s="232">
        <v>1</v>
      </c>
      <c r="H11" s="170">
        <v>0</v>
      </c>
      <c r="I11" s="169">
        <v>0</v>
      </c>
      <c r="J11" s="171">
        <f t="shared" si="1"/>
        <v>0</v>
      </c>
      <c r="K11" s="104"/>
      <c r="L11" s="112" t="s">
        <v>333</v>
      </c>
      <c r="M11" s="232">
        <v>0</v>
      </c>
      <c r="N11" s="170">
        <v>0</v>
      </c>
      <c r="O11" s="169">
        <v>0</v>
      </c>
      <c r="P11" s="172">
        <f t="shared" si="2"/>
        <v>0</v>
      </c>
      <c r="Q11" s="173">
        <f t="shared" si="3"/>
        <v>0</v>
      </c>
      <c r="R11" s="174">
        <f t="shared" si="0"/>
        <v>0</v>
      </c>
      <c r="S11" s="154">
        <f t="shared" si="4"/>
        <v>0</v>
      </c>
      <c r="U11" s="175"/>
    </row>
    <row r="12" spans="1:21" ht="20.100000000000001" customHeight="1">
      <c r="A12" s="88"/>
      <c r="B12" s="104"/>
      <c r="C12" s="169"/>
      <c r="D12" s="335" t="s">
        <v>256</v>
      </c>
      <c r="E12" s="336"/>
      <c r="F12" s="229" t="s">
        <v>256</v>
      </c>
      <c r="G12" s="232">
        <v>1</v>
      </c>
      <c r="H12" s="170">
        <v>0</v>
      </c>
      <c r="I12" s="169">
        <v>0</v>
      </c>
      <c r="J12" s="171">
        <f t="shared" si="1"/>
        <v>0</v>
      </c>
      <c r="K12" s="104"/>
      <c r="L12" s="112" t="s">
        <v>333</v>
      </c>
      <c r="M12" s="232">
        <v>0</v>
      </c>
      <c r="N12" s="170">
        <v>0</v>
      </c>
      <c r="O12" s="169">
        <v>0</v>
      </c>
      <c r="P12" s="172">
        <f t="shared" si="2"/>
        <v>0</v>
      </c>
      <c r="Q12" s="173">
        <f t="shared" si="3"/>
        <v>0</v>
      </c>
      <c r="R12" s="174">
        <f t="shared" si="0"/>
        <v>0</v>
      </c>
      <c r="S12" s="154">
        <f t="shared" si="4"/>
        <v>0</v>
      </c>
      <c r="U12" s="175"/>
    </row>
    <row r="13" spans="1:21" ht="20.100000000000001" customHeight="1" thickBot="1">
      <c r="A13" s="88"/>
      <c r="B13" s="118"/>
      <c r="C13" s="169"/>
      <c r="D13" s="335" t="s">
        <v>256</v>
      </c>
      <c r="E13" s="336"/>
      <c r="F13" s="229" t="s">
        <v>256</v>
      </c>
      <c r="G13" s="232">
        <v>1</v>
      </c>
      <c r="H13" s="126">
        <v>0</v>
      </c>
      <c r="I13" s="176">
        <v>0</v>
      </c>
      <c r="J13" s="171">
        <f t="shared" si="1"/>
        <v>0</v>
      </c>
      <c r="K13" s="118"/>
      <c r="L13" s="127" t="s">
        <v>333</v>
      </c>
      <c r="M13" s="232">
        <v>0</v>
      </c>
      <c r="N13" s="126">
        <v>0</v>
      </c>
      <c r="O13" s="176">
        <v>0</v>
      </c>
      <c r="P13" s="177">
        <f t="shared" si="2"/>
        <v>0</v>
      </c>
      <c r="Q13" s="173">
        <f t="shared" si="3"/>
        <v>0</v>
      </c>
      <c r="R13" s="178">
        <f t="shared" si="0"/>
        <v>0</v>
      </c>
      <c r="S13" s="154">
        <f t="shared" si="4"/>
        <v>0</v>
      </c>
      <c r="U13" s="175"/>
    </row>
    <row r="14" spans="1:21" ht="15">
      <c r="A14" s="88"/>
      <c r="B14" s="129"/>
      <c r="C14" s="131"/>
      <c r="D14" s="130"/>
      <c r="E14" s="131"/>
      <c r="F14" s="131"/>
      <c r="G14" s="131"/>
      <c r="H14" s="131"/>
      <c r="I14" s="131"/>
      <c r="J14" s="180"/>
      <c r="K14" s="154"/>
      <c r="L14" s="154"/>
      <c r="M14" s="154"/>
      <c r="N14" s="154"/>
      <c r="O14" s="154"/>
      <c r="P14" s="155"/>
      <c r="Q14" s="154"/>
      <c r="R14" s="155"/>
      <c r="S14" s="154"/>
    </row>
    <row r="15" spans="1:21" customFormat="1" ht="1.5" customHeight="1">
      <c r="A15" s="88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81"/>
      <c r="Q15" s="131"/>
      <c r="R15" s="181"/>
      <c r="S15" s="131"/>
    </row>
    <row r="16" spans="1:21" customFormat="1" ht="5.25" hidden="1" customHeight="1">
      <c r="A16" s="88"/>
      <c r="B16" s="129"/>
      <c r="C16" s="131"/>
      <c r="D16" s="130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81"/>
      <c r="Q16" s="131"/>
      <c r="R16" s="181"/>
      <c r="S16" s="131"/>
    </row>
    <row r="17" spans="1:19" customFormat="1" ht="20.100000000000001" customHeight="1">
      <c r="A17" s="88"/>
      <c r="B17" s="88"/>
      <c r="C17" s="237" t="s">
        <v>358</v>
      </c>
      <c r="D17" s="226">
        <f>SUM(S4:S13)</f>
        <v>0</v>
      </c>
      <c r="E17" s="182"/>
      <c r="F17" s="182"/>
      <c r="G17" s="182"/>
      <c r="H17" s="131"/>
      <c r="I17" s="131"/>
      <c r="J17" s="131"/>
      <c r="K17" s="131"/>
      <c r="L17" s="131"/>
      <c r="M17" s="131"/>
      <c r="N17" s="131"/>
      <c r="O17" s="131"/>
      <c r="P17" s="181"/>
      <c r="Q17" s="131"/>
      <c r="R17" s="181"/>
      <c r="S17" s="131"/>
    </row>
    <row r="18" spans="1:19" customFormat="1" ht="20.100000000000001" customHeight="1">
      <c r="A18" s="88"/>
      <c r="B18" s="88"/>
      <c r="C18" s="237" t="s">
        <v>359</v>
      </c>
      <c r="D18" s="226">
        <f>SUM(Q4:Q13)</f>
        <v>0</v>
      </c>
      <c r="E18" s="182"/>
      <c r="F18" s="182"/>
      <c r="G18" s="182"/>
      <c r="H18" s="131"/>
      <c r="I18" s="131"/>
      <c r="J18" s="131"/>
      <c r="K18" s="131"/>
      <c r="L18" s="131"/>
      <c r="M18" s="131"/>
      <c r="N18" s="131"/>
      <c r="O18" s="131"/>
      <c r="P18" s="181"/>
      <c r="Q18" s="131"/>
      <c r="R18" s="181"/>
      <c r="S18" s="131"/>
    </row>
    <row r="19" spans="1:19" customFormat="1" ht="20.100000000000001" customHeight="1">
      <c r="A19" s="88"/>
      <c r="B19" s="182"/>
      <c r="C19" s="182"/>
      <c r="D19" s="182"/>
      <c r="E19" s="182"/>
      <c r="F19" s="182"/>
      <c r="G19" s="182"/>
      <c r="H19" s="131"/>
      <c r="I19" s="131"/>
      <c r="J19" s="131"/>
      <c r="K19" s="131"/>
      <c r="L19" s="131"/>
      <c r="M19" s="131"/>
      <c r="N19" s="131"/>
      <c r="O19" s="131"/>
      <c r="P19" s="181"/>
      <c r="Q19" s="131"/>
      <c r="R19" s="181"/>
      <c r="S19" s="131"/>
    </row>
    <row r="20" spans="1:19" customFormat="1" ht="20.100000000000001" hidden="1" customHeight="1">
      <c r="A20" s="88"/>
      <c r="B20" s="183" t="s">
        <v>357</v>
      </c>
      <c r="C20" s="117"/>
      <c r="D20" s="184">
        <v>0.75</v>
      </c>
      <c r="E20" s="182"/>
      <c r="F20" s="182"/>
      <c r="G20" s="182"/>
      <c r="H20" s="131"/>
      <c r="I20" s="131"/>
      <c r="J20" s="131"/>
      <c r="K20" s="131"/>
      <c r="L20" s="131"/>
      <c r="M20" s="131"/>
      <c r="N20" s="131"/>
      <c r="O20" s="131"/>
      <c r="P20" s="181"/>
      <c r="Q20" s="131"/>
      <c r="R20" s="181"/>
      <c r="S20" s="131"/>
    </row>
    <row r="21" spans="1:19" customFormat="1" ht="20.100000000000001" hidden="1" customHeight="1">
      <c r="A21" s="88"/>
      <c r="B21" s="185"/>
      <c r="C21" s="117"/>
      <c r="D21" s="186" t="e">
        <f>#REF!*D19*D20</f>
        <v>#REF!</v>
      </c>
      <c r="E21" s="182"/>
      <c r="F21" s="182"/>
      <c r="G21" s="182"/>
      <c r="H21" s="131"/>
      <c r="I21" s="131"/>
      <c r="J21" s="131"/>
      <c r="K21" s="131"/>
      <c r="L21" s="131"/>
      <c r="M21" s="131"/>
      <c r="N21" s="131"/>
      <c r="O21" s="131"/>
      <c r="P21" s="181"/>
      <c r="Q21" s="131"/>
      <c r="R21" s="181"/>
      <c r="S21" s="131"/>
    </row>
    <row r="22" spans="1:19" customFormat="1" ht="20.100000000000001" hidden="1" customHeight="1">
      <c r="A22" s="88"/>
      <c r="B22" s="185"/>
      <c r="C22" s="117"/>
      <c r="D22" s="187">
        <v>2.4E-2</v>
      </c>
      <c r="E22" s="182"/>
      <c r="F22" s="182"/>
      <c r="G22" s="182"/>
      <c r="H22" s="131"/>
      <c r="I22" s="131"/>
      <c r="J22" s="131"/>
      <c r="K22" s="131"/>
      <c r="L22" s="131"/>
      <c r="M22" s="131"/>
      <c r="N22" s="131"/>
      <c r="O22" s="131"/>
      <c r="P22" s="181"/>
      <c r="Q22" s="131"/>
      <c r="R22" s="181"/>
      <c r="S22" s="131"/>
    </row>
    <row r="23" spans="1:19" customFormat="1" ht="20.100000000000001" hidden="1" customHeight="1">
      <c r="A23" s="88"/>
      <c r="B23" s="188"/>
      <c r="C23" s="117"/>
      <c r="D23" s="186" t="e">
        <f>IF(D21*D22&gt;#REF!,#REF!,D21*D22)</f>
        <v>#REF!</v>
      </c>
      <c r="E23" s="182"/>
      <c r="F23" s="182"/>
      <c r="G23" s="182"/>
      <c r="H23" s="131"/>
      <c r="I23" s="131"/>
      <c r="J23" s="131"/>
      <c r="K23" s="131"/>
      <c r="L23" s="131"/>
      <c r="M23" s="131"/>
      <c r="N23" s="131"/>
      <c r="O23" s="131"/>
      <c r="P23" s="181"/>
      <c r="Q23" s="131"/>
      <c r="R23" s="181"/>
      <c r="S23" s="131"/>
    </row>
    <row r="28" spans="1:19">
      <c r="M28" s="233"/>
    </row>
  </sheetData>
  <mergeCells count="14">
    <mergeCell ref="D10:E10"/>
    <mergeCell ref="D11:E11"/>
    <mergeCell ref="D12:E12"/>
    <mergeCell ref="D13:E13"/>
    <mergeCell ref="D5:E5"/>
    <mergeCell ref="D6:E6"/>
    <mergeCell ref="D7:E7"/>
    <mergeCell ref="D8:E8"/>
    <mergeCell ref="D9:E9"/>
    <mergeCell ref="B2:C2"/>
    <mergeCell ref="D2:J2"/>
    <mergeCell ref="K2:Q2"/>
    <mergeCell ref="D3:E3"/>
    <mergeCell ref="D4:E4"/>
  </mergeCells>
  <conditionalFormatting sqref="C14 C16">
    <cfRule type="containsText" dxfId="42" priority="13" operator="containsText" text="JA">
      <formula>NOT(ISERROR(SEARCH("JA",C14)))</formula>
    </cfRule>
    <cfRule type="containsText" dxfId="41" priority="14" operator="containsText" text="NEIN">
      <formula>NOT(ISERROR(SEARCH("NEIN",C14)))</formula>
    </cfRule>
    <cfRule type="containsText" dxfId="40" priority="15" operator="containsText" text="JA">
      <formula>NOT(ISERROR(SEARCH("JA",C14)))</formula>
    </cfRule>
    <cfRule type="containsText" dxfId="39" priority="16" operator="containsText" text="NEIN">
      <formula>NOT(ISERROR(SEARCH("NEIN",C14)))</formula>
    </cfRule>
  </conditionalFormatting>
  <conditionalFormatting sqref="L4:L13">
    <cfRule type="containsText" dxfId="38" priority="1" operator="containsText" text="JA">
      <formula>NOT(ISERROR(SEARCH("JA",L4)))</formula>
    </cfRule>
    <cfRule type="containsText" dxfId="37" priority="2" operator="containsText" text="NEIN">
      <formula>NOT(ISERROR(SEARCH("NEIN",L4)))</formula>
    </cfRule>
    <cfRule type="containsText" dxfId="36" priority="3" operator="containsText" text="JA">
      <formula>NOT(ISERROR(SEARCH("JA",L4)))</formula>
    </cfRule>
    <cfRule type="containsText" dxfId="35" priority="4" operator="containsText" text="NEIN">
      <formula>NOT(ISERROR(SEARCH("NEIN",L4)))</formula>
    </cfRule>
  </conditionalFormatting>
  <dataValidations count="3">
    <dataValidation type="list" allowBlank="1" showInputMessage="1" showErrorMessage="1" sqref="B62:B1048576" xr:uid="{1EDF4179-9423-4BE8-991E-BA9A26862A62}">
      <formula1>#REF!</formula1>
    </dataValidation>
    <dataValidation type="list" allowBlank="1" showInputMessage="1" showErrorMessage="1" sqref="C14 C16 L4:L13" xr:uid="{AD7567E1-A625-4727-89AA-B115E1E61396}">
      <formula1>"Ja,Nein"</formula1>
    </dataValidation>
    <dataValidation type="list" allowBlank="1" showInputMessage="1" showErrorMessage="1" sqref="D4:E13" xr:uid="{49D5F392-F86D-4B12-8A4A-7B9CD2D68E24}">
      <formula1>"Wählen,Nassläufer (max 500W),Trockenläufer"</formula1>
    </dataValidation>
  </dataValidations>
  <pageMargins left="0.7" right="0.7" top="0.78740157499999996" bottom="0.78740157499999996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142425-BE85-4670-BE01-2127CEDCC31B}">
          <x14:formula1>
            <xm:f>Sprachen!$V$8:$V$11</xm:f>
          </x14:formula1>
          <xm:sqref>F4:F13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228B5-3D6F-4A5A-B332-5AD905313D5C}">
  <dimension ref="A1:AI57"/>
  <sheetViews>
    <sheetView topLeftCell="A2" zoomScale="85" zoomScaleNormal="85" workbookViewId="0">
      <selection activeCell="L19" sqref="L19"/>
    </sheetView>
  </sheetViews>
  <sheetFormatPr baseColWidth="10" defaultColWidth="11.28515625" defaultRowHeight="12.75"/>
  <cols>
    <col min="1" max="1" width="2.5703125" style="117" customWidth="1"/>
    <col min="2" max="2" width="15.28515625" style="117" customWidth="1"/>
    <col min="3" max="3" width="35.140625" style="117" customWidth="1"/>
    <col min="4" max="4" width="25.140625" style="117" customWidth="1"/>
    <col min="5" max="5" width="10.28515625" style="220" customWidth="1"/>
    <col min="6" max="6" width="9.5703125" style="221" customWidth="1"/>
    <col min="7" max="7" width="27.85546875" style="117" customWidth="1"/>
    <col min="8" max="10" width="8.7109375" style="117" customWidth="1"/>
    <col min="11" max="11" width="8.7109375" style="222" hidden="1" customWidth="1"/>
    <col min="12" max="12" width="8.7109375" style="223" customWidth="1"/>
    <col min="13" max="13" width="8.7109375" style="117" customWidth="1"/>
    <col min="14" max="14" width="8.7109375" style="224" hidden="1" customWidth="1"/>
    <col min="15" max="15" width="8.7109375" style="117" customWidth="1"/>
    <col min="16" max="16" width="8.7109375" style="224" hidden="1" customWidth="1"/>
    <col min="17" max="17" width="8.7109375" style="117" customWidth="1"/>
    <col min="18" max="18" width="16.7109375" style="117" customWidth="1"/>
    <col min="19" max="21" width="8.7109375" style="117" customWidth="1"/>
    <col min="22" max="22" width="8.7109375" style="117" hidden="1" customWidth="1"/>
    <col min="23" max="23" width="8.7109375" style="223" customWidth="1"/>
    <col min="24" max="24" width="8.7109375" style="117" customWidth="1"/>
    <col min="25" max="25" width="8.7109375" style="117" hidden="1" customWidth="1"/>
    <col min="26" max="26" width="8.5703125" style="117" customWidth="1"/>
    <col min="27" max="27" width="8.7109375" style="117" hidden="1" customWidth="1"/>
    <col min="28" max="28" width="0.28515625" style="117" customWidth="1"/>
    <col min="29" max="29" width="9.85546875" style="117" customWidth="1"/>
    <col min="30" max="30" width="11.42578125" style="117" customWidth="1"/>
    <col min="31" max="31" width="10.85546875" style="117" customWidth="1"/>
    <col min="32" max="32" width="4" style="117" customWidth="1"/>
    <col min="33" max="33" width="11" style="117" hidden="1" customWidth="1"/>
    <col min="34" max="34" width="15" style="117" hidden="1" customWidth="1"/>
    <col min="35" max="35" width="11.7109375" style="117" customWidth="1"/>
    <col min="36" max="16384" width="11.28515625" style="117"/>
  </cols>
  <sheetData>
    <row r="1" spans="1:35" ht="20.100000000000001" customHeight="1" thickBot="1">
      <c r="A1" s="88"/>
      <c r="B1" s="88"/>
      <c r="C1" s="203"/>
      <c r="D1" s="156"/>
      <c r="E1" s="205"/>
      <c r="F1" s="143"/>
      <c r="G1" s="88"/>
      <c r="H1" s="88"/>
      <c r="I1" s="88"/>
      <c r="J1" s="88"/>
      <c r="K1" s="201"/>
      <c r="L1" s="202"/>
      <c r="M1" s="88"/>
      <c r="N1" s="136"/>
      <c r="O1" s="88"/>
      <c r="P1" s="136"/>
      <c r="Q1" s="88"/>
      <c r="R1" s="88"/>
      <c r="S1" s="88"/>
      <c r="T1" s="88"/>
      <c r="U1" s="88"/>
      <c r="V1" s="88"/>
      <c r="W1" s="202"/>
      <c r="X1" s="88"/>
      <c r="Y1" s="88"/>
      <c r="Z1" s="88"/>
      <c r="AA1" s="88"/>
      <c r="AB1" s="88"/>
      <c r="AC1" s="88"/>
      <c r="AD1" s="88"/>
      <c r="AE1" s="88"/>
      <c r="AF1" s="88"/>
    </row>
    <row r="2" spans="1:35" s="90" customFormat="1" ht="20.100000000000001" customHeight="1" thickBot="1">
      <c r="A2" s="88"/>
      <c r="B2" s="361" t="s">
        <v>307</v>
      </c>
      <c r="C2" s="362"/>
      <c r="D2" s="362"/>
      <c r="E2" s="363"/>
      <c r="F2" s="364" t="s">
        <v>308</v>
      </c>
      <c r="G2" s="365"/>
      <c r="H2" s="365"/>
      <c r="I2" s="365"/>
      <c r="J2" s="365"/>
      <c r="K2" s="365"/>
      <c r="L2" s="365"/>
      <c r="M2" s="366"/>
      <c r="N2" s="366"/>
      <c r="O2" s="367"/>
      <c r="P2" s="89"/>
      <c r="Q2" s="332" t="s">
        <v>309</v>
      </c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51"/>
      <c r="AF2" s="88"/>
      <c r="AG2" s="90" t="s">
        <v>310</v>
      </c>
      <c r="AH2" s="90" t="s">
        <v>311</v>
      </c>
      <c r="AI2" s="91" t="s">
        <v>312</v>
      </c>
    </row>
    <row r="3" spans="1:35" s="103" customFormat="1" ht="123" customHeight="1">
      <c r="A3" s="92"/>
      <c r="B3" s="93" t="s">
        <v>313</v>
      </c>
      <c r="C3" s="94" t="s">
        <v>314</v>
      </c>
      <c r="D3" s="94" t="s">
        <v>315</v>
      </c>
      <c r="E3" s="95" t="s">
        <v>316</v>
      </c>
      <c r="F3" s="93" t="s">
        <v>317</v>
      </c>
      <c r="G3" s="94" t="s">
        <v>318</v>
      </c>
      <c r="H3" s="94" t="s">
        <v>319</v>
      </c>
      <c r="I3" s="94" t="s">
        <v>320</v>
      </c>
      <c r="J3" s="94" t="s">
        <v>321</v>
      </c>
      <c r="K3" s="96" t="s">
        <v>322</v>
      </c>
      <c r="L3" s="97" t="s">
        <v>323</v>
      </c>
      <c r="M3" s="98" t="s">
        <v>324</v>
      </c>
      <c r="N3" s="99" t="s">
        <v>261</v>
      </c>
      <c r="O3" s="98" t="s">
        <v>325</v>
      </c>
      <c r="P3" s="100" t="s">
        <v>262</v>
      </c>
      <c r="Q3" s="93" t="s">
        <v>259</v>
      </c>
      <c r="R3" s="94" t="s">
        <v>318</v>
      </c>
      <c r="S3" s="94" t="s">
        <v>319</v>
      </c>
      <c r="T3" s="94" t="s">
        <v>320</v>
      </c>
      <c r="U3" s="94" t="s">
        <v>321</v>
      </c>
      <c r="V3" s="94" t="s">
        <v>322</v>
      </c>
      <c r="W3" s="97" t="s">
        <v>326</v>
      </c>
      <c r="X3" s="98" t="s">
        <v>327</v>
      </c>
      <c r="Y3" s="98" t="s">
        <v>261</v>
      </c>
      <c r="Z3" s="98" t="s">
        <v>328</v>
      </c>
      <c r="AA3" s="101" t="s">
        <v>262</v>
      </c>
      <c r="AB3" s="94" t="s">
        <v>329</v>
      </c>
      <c r="AC3" s="94" t="s">
        <v>330</v>
      </c>
      <c r="AD3" s="94" t="s">
        <v>331</v>
      </c>
      <c r="AE3" s="94" t="s">
        <v>332</v>
      </c>
      <c r="AF3" s="92"/>
      <c r="AG3" s="102" t="s">
        <v>312</v>
      </c>
    </row>
    <row r="4" spans="1:35" ht="20.100000000000001" customHeight="1">
      <c r="A4" s="88"/>
      <c r="B4" s="104"/>
      <c r="C4" s="105" t="s">
        <v>265</v>
      </c>
      <c r="D4" s="200"/>
      <c r="E4" s="106">
        <f>VLOOKUP(C4,'Vorgabe ProKilowatt Bel'!$A$2:$B$45,2,FALSE)</f>
        <v>0</v>
      </c>
      <c r="F4" s="200">
        <f t="shared" ref="F4:F31" si="0">E4</f>
        <v>0</v>
      </c>
      <c r="G4" s="107"/>
      <c r="H4" s="200"/>
      <c r="I4" s="105"/>
      <c r="J4" s="200"/>
      <c r="K4" s="108">
        <f>I4*J4/1000</f>
        <v>0</v>
      </c>
      <c r="L4" s="109">
        <f>K4*F4*N4*P4</f>
        <v>0</v>
      </c>
      <c r="M4" s="110" t="s">
        <v>333</v>
      </c>
      <c r="N4" s="111">
        <f>IF(M4="JA",VLOOKUP(C4,'Vorgabe ProKilowatt Bel'!$A$2:$D$45,4,FALSE),1)</f>
        <v>1</v>
      </c>
      <c r="O4" s="110" t="s">
        <v>333</v>
      </c>
      <c r="P4" s="111">
        <f>IF(O4="JA",VLOOKUP(C4,'Vorgabe ProKilowatt Bel'!$A$2:$E$45,5,FALSE),1)</f>
        <v>1</v>
      </c>
      <c r="Q4" s="200">
        <f t="shared" ref="Q4:Q31" si="1">F4</f>
        <v>0</v>
      </c>
      <c r="R4" s="107"/>
      <c r="S4" s="200"/>
      <c r="T4" s="105"/>
      <c r="U4" s="200"/>
      <c r="V4" s="109">
        <f t="shared" ref="V4:V31" si="2">T4*U4/1000</f>
        <v>0</v>
      </c>
      <c r="W4" s="109">
        <f>V4*Q4*Y4*AA4</f>
        <v>0</v>
      </c>
      <c r="X4" s="112" t="s">
        <v>333</v>
      </c>
      <c r="Y4" s="113">
        <f>IF(X4="Ja",VLOOKUP(C4,'Vorgabe ProKilowatt Bel'!$A$2:$D$45,4,FALSE),1)</f>
        <v>1</v>
      </c>
      <c r="Z4" s="112" t="s">
        <v>333</v>
      </c>
      <c r="AA4" s="114">
        <f>IF(Z4="Ja",VLOOKUP(C4,'Vorgabe ProKilowatt Bel'!$A$2:$E$45,5,FALSE),1)</f>
        <v>1</v>
      </c>
      <c r="AB4" s="115">
        <f t="shared" ref="AB4:AB31" si="3">(L4-W4)</f>
        <v>0</v>
      </c>
      <c r="AC4" s="115">
        <f t="shared" ref="AC4:AC20" si="4">IF($AG$49&lt;=$AH$49,IF(W4&gt;0,IF(D4&gt;0,AB4,0),0),IF(AD4&lt;AE4,IF(W4&gt;0,IF(D4&gt;0,AB4,0),0),0))</f>
        <v>0</v>
      </c>
      <c r="AD4" s="115">
        <f>IF(W4*D4&gt;0,W4/D4,0)</f>
        <v>0</v>
      </c>
      <c r="AE4" s="116">
        <f>VLOOKUP(C4,'Vorgabe ProKilowatt Bel'!$A$2:$C$45,3,FALSE)</f>
        <v>0</v>
      </c>
      <c r="AF4" s="88"/>
      <c r="AG4" s="117">
        <f>IF(W4*D4&gt;0,W4,0)</f>
        <v>0</v>
      </c>
      <c r="AH4" s="117">
        <f>IF(W4*D4&gt;0,D4*AE4,0)</f>
        <v>0</v>
      </c>
    </row>
    <row r="5" spans="1:35" ht="20.100000000000001" customHeight="1">
      <c r="A5" s="88"/>
      <c r="B5" s="104"/>
      <c r="C5" s="105" t="s">
        <v>265</v>
      </c>
      <c r="D5" s="200"/>
      <c r="E5" s="106">
        <f>VLOOKUP(C5,'Vorgabe ProKilowatt Bel'!$A$2:$B$45,2,FALSE)</f>
        <v>0</v>
      </c>
      <c r="F5" s="200">
        <f t="shared" si="0"/>
        <v>0</v>
      </c>
      <c r="G5" s="107"/>
      <c r="H5" s="200"/>
      <c r="I5" s="105"/>
      <c r="J5" s="200"/>
      <c r="K5" s="108">
        <f t="shared" ref="K5:K31" si="5">I5*J5/1000</f>
        <v>0</v>
      </c>
      <c r="L5" s="109">
        <f t="shared" ref="L5:L31" si="6">K5*F5*N5*P5</f>
        <v>0</v>
      </c>
      <c r="M5" s="110" t="s">
        <v>333</v>
      </c>
      <c r="N5" s="111">
        <f>IF(M5="JA",VLOOKUP(C5,'Vorgabe ProKilowatt Bel'!$A$2:$D$45,4,FALSE),1)</f>
        <v>1</v>
      </c>
      <c r="O5" s="110" t="s">
        <v>333</v>
      </c>
      <c r="P5" s="111">
        <f>IF(O5="JA",VLOOKUP(C5,'Vorgabe ProKilowatt Bel'!$A$2:$E$45,5,FALSE),1)</f>
        <v>1</v>
      </c>
      <c r="Q5" s="200">
        <f t="shared" si="1"/>
        <v>0</v>
      </c>
      <c r="R5" s="107"/>
      <c r="S5" s="200"/>
      <c r="T5" s="105"/>
      <c r="U5" s="200"/>
      <c r="V5" s="109">
        <f t="shared" si="2"/>
        <v>0</v>
      </c>
      <c r="W5" s="109">
        <f t="shared" ref="W5:W31" si="7">V5*Q5*Y5*AA5</f>
        <v>0</v>
      </c>
      <c r="X5" s="112" t="s">
        <v>333</v>
      </c>
      <c r="Y5" s="113">
        <f>IF(X5="Ja",VLOOKUP(C5,'Vorgabe ProKilowatt Bel'!$A$2:$D$45,4,FALSE),1)</f>
        <v>1</v>
      </c>
      <c r="Z5" s="112" t="s">
        <v>333</v>
      </c>
      <c r="AA5" s="114">
        <f>IF(Z5="Ja",VLOOKUP(C5,'Vorgabe ProKilowatt Bel'!$A$2:$E$45,5,FALSE),1)</f>
        <v>1</v>
      </c>
      <c r="AB5" s="115">
        <f t="shared" si="3"/>
        <v>0</v>
      </c>
      <c r="AC5" s="115">
        <f t="shared" si="4"/>
        <v>0</v>
      </c>
      <c r="AD5" s="115">
        <f>IF(W5*D5&gt;0,W5/D5,0)</f>
        <v>0</v>
      </c>
      <c r="AE5" s="116">
        <f>VLOOKUP(C5,'Vorgabe ProKilowatt Bel'!$A$2:$C$45,3,FALSE)</f>
        <v>0</v>
      </c>
      <c r="AF5" s="88"/>
      <c r="AG5" s="117">
        <f t="shared" ref="AG5:AG31" si="8">IF(W5*D5&gt;0,W5,0)</f>
        <v>0</v>
      </c>
      <c r="AH5" s="117">
        <f t="shared" ref="AH5:AH31" si="9">IF(W5*D5&gt;0,D5*AE5,0)</f>
        <v>0</v>
      </c>
    </row>
    <row r="6" spans="1:35" ht="20.100000000000001" customHeight="1">
      <c r="A6" s="88"/>
      <c r="B6" s="104"/>
      <c r="C6" s="105" t="s">
        <v>265</v>
      </c>
      <c r="D6" s="200"/>
      <c r="E6" s="106">
        <f>VLOOKUP(C6,'Vorgabe ProKilowatt Bel'!$A$2:$B$45,2,FALSE)</f>
        <v>0</v>
      </c>
      <c r="F6" s="200">
        <f t="shared" si="0"/>
        <v>0</v>
      </c>
      <c r="G6" s="107"/>
      <c r="H6" s="200"/>
      <c r="I6" s="105"/>
      <c r="J6" s="200"/>
      <c r="K6" s="108">
        <f t="shared" si="5"/>
        <v>0</v>
      </c>
      <c r="L6" s="109">
        <f t="shared" si="6"/>
        <v>0</v>
      </c>
      <c r="M6" s="110" t="s">
        <v>333</v>
      </c>
      <c r="N6" s="111">
        <f>IF(M6="JA",VLOOKUP(C6,'Vorgabe ProKilowatt Bel'!$A$2:$D$45,4,FALSE),1)</f>
        <v>1</v>
      </c>
      <c r="O6" s="110" t="s">
        <v>333</v>
      </c>
      <c r="P6" s="111">
        <f>IF(O6="JA",VLOOKUP(C6,'Vorgabe ProKilowatt Bel'!$A$2:$E$45,5,FALSE),1)</f>
        <v>1</v>
      </c>
      <c r="Q6" s="200">
        <f t="shared" si="1"/>
        <v>0</v>
      </c>
      <c r="R6" s="107"/>
      <c r="S6" s="200"/>
      <c r="T6" s="105"/>
      <c r="U6" s="200"/>
      <c r="V6" s="109">
        <f t="shared" si="2"/>
        <v>0</v>
      </c>
      <c r="W6" s="109">
        <f t="shared" si="7"/>
        <v>0</v>
      </c>
      <c r="X6" s="112" t="s">
        <v>333</v>
      </c>
      <c r="Y6" s="113">
        <f>IF(X6="Ja",VLOOKUP(C6,'Vorgabe ProKilowatt Bel'!$A$2:$D$45,4,FALSE),1)</f>
        <v>1</v>
      </c>
      <c r="Z6" s="112" t="s">
        <v>333</v>
      </c>
      <c r="AA6" s="114">
        <f>IF(Z6="Ja",VLOOKUP(C6,'Vorgabe ProKilowatt Bel'!$A$2:$E$45,5,FALSE),1)</f>
        <v>1</v>
      </c>
      <c r="AB6" s="115">
        <f t="shared" si="3"/>
        <v>0</v>
      </c>
      <c r="AC6" s="115">
        <f t="shared" si="4"/>
        <v>0</v>
      </c>
      <c r="AD6" s="115">
        <f t="shared" ref="AD6:AD31" si="10">IF(W6*D6&gt;0,W6/D6,0)</f>
        <v>0</v>
      </c>
      <c r="AE6" s="116">
        <f>VLOOKUP(C6,'Vorgabe ProKilowatt Bel'!$A$2:$C$45,3,FALSE)</f>
        <v>0</v>
      </c>
      <c r="AF6" s="88"/>
      <c r="AG6" s="117">
        <f t="shared" si="8"/>
        <v>0</v>
      </c>
      <c r="AH6" s="117">
        <f t="shared" si="9"/>
        <v>0</v>
      </c>
    </row>
    <row r="7" spans="1:35" ht="20.100000000000001" customHeight="1">
      <c r="A7" s="88"/>
      <c r="B7" s="104"/>
      <c r="C7" s="105" t="s">
        <v>265</v>
      </c>
      <c r="D7" s="200"/>
      <c r="E7" s="106">
        <f>VLOOKUP(C7,'Vorgabe ProKilowatt Bel'!$A$2:$B$45,2,FALSE)</f>
        <v>0</v>
      </c>
      <c r="F7" s="200">
        <f t="shared" si="0"/>
        <v>0</v>
      </c>
      <c r="G7" s="107"/>
      <c r="H7" s="200"/>
      <c r="I7" s="105"/>
      <c r="J7" s="200"/>
      <c r="K7" s="108">
        <f t="shared" si="5"/>
        <v>0</v>
      </c>
      <c r="L7" s="109">
        <f t="shared" si="6"/>
        <v>0</v>
      </c>
      <c r="M7" s="110" t="s">
        <v>333</v>
      </c>
      <c r="N7" s="111">
        <f>IF(M7="JA",VLOOKUP(C7,'Vorgabe ProKilowatt Bel'!$A$2:$D$45,4,FALSE),1)</f>
        <v>1</v>
      </c>
      <c r="O7" s="110" t="s">
        <v>333</v>
      </c>
      <c r="P7" s="111">
        <f>IF(O7="JA",VLOOKUP(C7,'Vorgabe ProKilowatt Bel'!$A$2:$E$45,5,FALSE),1)</f>
        <v>1</v>
      </c>
      <c r="Q7" s="200">
        <f t="shared" si="1"/>
        <v>0</v>
      </c>
      <c r="R7" s="107"/>
      <c r="S7" s="200"/>
      <c r="T7" s="105"/>
      <c r="U7" s="200"/>
      <c r="V7" s="109">
        <f t="shared" si="2"/>
        <v>0</v>
      </c>
      <c r="W7" s="109">
        <f t="shared" si="7"/>
        <v>0</v>
      </c>
      <c r="X7" s="112" t="s">
        <v>333</v>
      </c>
      <c r="Y7" s="113">
        <f>IF(X7="Ja",VLOOKUP(C7,'Vorgabe ProKilowatt Bel'!$A$2:$D$45,4,FALSE),1)</f>
        <v>1</v>
      </c>
      <c r="Z7" s="112" t="s">
        <v>333</v>
      </c>
      <c r="AA7" s="114">
        <f>IF(Z7="Ja",VLOOKUP(C7,'Vorgabe ProKilowatt Bel'!$A$2:$E$45,5,FALSE),1)</f>
        <v>1</v>
      </c>
      <c r="AB7" s="115">
        <f t="shared" si="3"/>
        <v>0</v>
      </c>
      <c r="AC7" s="115">
        <f t="shared" si="4"/>
        <v>0</v>
      </c>
      <c r="AD7" s="115">
        <f t="shared" si="10"/>
        <v>0</v>
      </c>
      <c r="AE7" s="116">
        <f>VLOOKUP(C7,'Vorgabe ProKilowatt Bel'!$A$2:$C$45,3,FALSE)</f>
        <v>0</v>
      </c>
      <c r="AF7" s="88"/>
      <c r="AG7" s="117">
        <f t="shared" si="8"/>
        <v>0</v>
      </c>
      <c r="AH7" s="117">
        <f t="shared" si="9"/>
        <v>0</v>
      </c>
    </row>
    <row r="8" spans="1:35" ht="20.100000000000001" customHeight="1">
      <c r="A8" s="88"/>
      <c r="B8" s="104"/>
      <c r="C8" s="105" t="s">
        <v>265</v>
      </c>
      <c r="D8" s="200"/>
      <c r="E8" s="106">
        <f>VLOOKUP(C8,'Vorgabe ProKilowatt Bel'!$A$2:$B$45,2,FALSE)</f>
        <v>0</v>
      </c>
      <c r="F8" s="200">
        <f t="shared" si="0"/>
        <v>0</v>
      </c>
      <c r="G8" s="107"/>
      <c r="H8" s="200"/>
      <c r="I8" s="105"/>
      <c r="J8" s="200"/>
      <c r="K8" s="108">
        <f t="shared" si="5"/>
        <v>0</v>
      </c>
      <c r="L8" s="109">
        <f t="shared" si="6"/>
        <v>0</v>
      </c>
      <c r="M8" s="110" t="s">
        <v>333</v>
      </c>
      <c r="N8" s="111">
        <f>IF(M8="JA",VLOOKUP(C8,'Vorgabe ProKilowatt Bel'!$A$2:$D$45,4,FALSE),1)</f>
        <v>1</v>
      </c>
      <c r="O8" s="110" t="s">
        <v>333</v>
      </c>
      <c r="P8" s="111">
        <f>IF(O8="JA",VLOOKUP(C8,'Vorgabe ProKilowatt Bel'!$A$2:$E$45,5,FALSE),1)</f>
        <v>1</v>
      </c>
      <c r="Q8" s="200">
        <f t="shared" si="1"/>
        <v>0</v>
      </c>
      <c r="R8" s="107"/>
      <c r="S8" s="200"/>
      <c r="T8" s="105"/>
      <c r="U8" s="200"/>
      <c r="V8" s="109">
        <f t="shared" si="2"/>
        <v>0</v>
      </c>
      <c r="W8" s="109">
        <f t="shared" si="7"/>
        <v>0</v>
      </c>
      <c r="X8" s="112" t="s">
        <v>333</v>
      </c>
      <c r="Y8" s="113">
        <f>IF(X8="Ja",VLOOKUP(C8,'Vorgabe ProKilowatt Bel'!$A$2:$D$45,4,FALSE),1)</f>
        <v>1</v>
      </c>
      <c r="Z8" s="112" t="s">
        <v>333</v>
      </c>
      <c r="AA8" s="114">
        <f>IF(Z8="Ja",VLOOKUP(C8,'Vorgabe ProKilowatt Bel'!$A$2:$E$45,5,FALSE),1)</f>
        <v>1</v>
      </c>
      <c r="AB8" s="115">
        <f t="shared" si="3"/>
        <v>0</v>
      </c>
      <c r="AC8" s="115">
        <f t="shared" si="4"/>
        <v>0</v>
      </c>
      <c r="AD8" s="115">
        <f t="shared" si="10"/>
        <v>0</v>
      </c>
      <c r="AE8" s="116">
        <f>VLOOKUP(C8,'Vorgabe ProKilowatt Bel'!$A$2:$C$45,3,FALSE)</f>
        <v>0</v>
      </c>
      <c r="AF8" s="88"/>
      <c r="AG8" s="117">
        <f t="shared" si="8"/>
        <v>0</v>
      </c>
      <c r="AH8" s="117">
        <f t="shared" si="9"/>
        <v>0</v>
      </c>
    </row>
    <row r="9" spans="1:35" ht="20.100000000000001" customHeight="1">
      <c r="A9" s="88"/>
      <c r="B9" s="104"/>
      <c r="C9" s="105" t="s">
        <v>265</v>
      </c>
      <c r="D9" s="200"/>
      <c r="E9" s="106">
        <f>VLOOKUP(C9,'Vorgabe ProKilowatt Bel'!$A$2:$B$45,2,FALSE)</f>
        <v>0</v>
      </c>
      <c r="F9" s="200">
        <f t="shared" si="0"/>
        <v>0</v>
      </c>
      <c r="G9" s="107"/>
      <c r="H9" s="200"/>
      <c r="I9" s="105"/>
      <c r="J9" s="200"/>
      <c r="K9" s="108">
        <f t="shared" si="5"/>
        <v>0</v>
      </c>
      <c r="L9" s="109">
        <f t="shared" si="6"/>
        <v>0</v>
      </c>
      <c r="M9" s="110" t="s">
        <v>333</v>
      </c>
      <c r="N9" s="111">
        <f>IF(M9="JA",VLOOKUP(C9,'Vorgabe ProKilowatt Bel'!$A$2:$D$45,4,FALSE),1)</f>
        <v>1</v>
      </c>
      <c r="O9" s="110" t="s">
        <v>333</v>
      </c>
      <c r="P9" s="111">
        <f>IF(O9="JA",VLOOKUP(C9,'Vorgabe ProKilowatt Bel'!$A$2:$E$45,5,FALSE),1)</f>
        <v>1</v>
      </c>
      <c r="Q9" s="200">
        <f t="shared" si="1"/>
        <v>0</v>
      </c>
      <c r="R9" s="107"/>
      <c r="S9" s="200"/>
      <c r="T9" s="105"/>
      <c r="U9" s="200"/>
      <c r="V9" s="109">
        <f t="shared" si="2"/>
        <v>0</v>
      </c>
      <c r="W9" s="109">
        <f t="shared" si="7"/>
        <v>0</v>
      </c>
      <c r="X9" s="112" t="s">
        <v>333</v>
      </c>
      <c r="Y9" s="113">
        <f>IF(X9="Ja",VLOOKUP(C9,'Vorgabe ProKilowatt Bel'!$A$2:$D$45,4,FALSE),1)</f>
        <v>1</v>
      </c>
      <c r="Z9" s="112" t="s">
        <v>333</v>
      </c>
      <c r="AA9" s="114">
        <f>IF(Z9="Ja",VLOOKUP(C9,'Vorgabe ProKilowatt Bel'!$A$2:$E$45,5,FALSE),1)</f>
        <v>1</v>
      </c>
      <c r="AB9" s="115">
        <f t="shared" si="3"/>
        <v>0</v>
      </c>
      <c r="AC9" s="115">
        <f t="shared" si="4"/>
        <v>0</v>
      </c>
      <c r="AD9" s="115">
        <f t="shared" si="10"/>
        <v>0</v>
      </c>
      <c r="AE9" s="116">
        <f>VLOOKUP(C9,'Vorgabe ProKilowatt Bel'!$A$2:$C$45,3,FALSE)</f>
        <v>0</v>
      </c>
      <c r="AF9" s="88"/>
      <c r="AG9" s="117">
        <f t="shared" si="8"/>
        <v>0</v>
      </c>
      <c r="AH9" s="117">
        <f t="shared" si="9"/>
        <v>0</v>
      </c>
    </row>
    <row r="10" spans="1:35" ht="20.100000000000001" customHeight="1">
      <c r="A10" s="88"/>
      <c r="B10" s="104"/>
      <c r="C10" s="105" t="s">
        <v>265</v>
      </c>
      <c r="D10" s="200"/>
      <c r="E10" s="106">
        <f>VLOOKUP(C10,'Vorgabe ProKilowatt Bel'!$A$2:$B$45,2,FALSE)</f>
        <v>0</v>
      </c>
      <c r="F10" s="200">
        <f t="shared" si="0"/>
        <v>0</v>
      </c>
      <c r="G10" s="107"/>
      <c r="H10" s="200"/>
      <c r="I10" s="105"/>
      <c r="J10" s="200"/>
      <c r="K10" s="108">
        <f t="shared" si="5"/>
        <v>0</v>
      </c>
      <c r="L10" s="109">
        <f t="shared" si="6"/>
        <v>0</v>
      </c>
      <c r="M10" s="110" t="s">
        <v>333</v>
      </c>
      <c r="N10" s="111">
        <f>IF(M10="JA",VLOOKUP(C10,'Vorgabe ProKilowatt Bel'!$A$2:$D$45,4,FALSE),1)</f>
        <v>1</v>
      </c>
      <c r="O10" s="110" t="s">
        <v>333</v>
      </c>
      <c r="P10" s="111">
        <f>IF(O10="JA",VLOOKUP(C10,'Vorgabe ProKilowatt Bel'!$A$2:$E$45,5,FALSE),1)</f>
        <v>1</v>
      </c>
      <c r="Q10" s="200">
        <f t="shared" si="1"/>
        <v>0</v>
      </c>
      <c r="R10" s="107"/>
      <c r="S10" s="200"/>
      <c r="T10" s="105"/>
      <c r="U10" s="200"/>
      <c r="V10" s="109">
        <f t="shared" si="2"/>
        <v>0</v>
      </c>
      <c r="W10" s="109">
        <f t="shared" si="7"/>
        <v>0</v>
      </c>
      <c r="X10" s="112" t="s">
        <v>333</v>
      </c>
      <c r="Y10" s="113">
        <f>IF(X10="Ja",VLOOKUP(C10,'Vorgabe ProKilowatt Bel'!$A$2:$D$45,4,FALSE),1)</f>
        <v>1</v>
      </c>
      <c r="Z10" s="112" t="s">
        <v>333</v>
      </c>
      <c r="AA10" s="114">
        <f>IF(Z10="Ja",VLOOKUP(C10,'Vorgabe ProKilowatt Bel'!$A$2:$E$45,5,FALSE),1)</f>
        <v>1</v>
      </c>
      <c r="AB10" s="115">
        <f t="shared" si="3"/>
        <v>0</v>
      </c>
      <c r="AC10" s="115">
        <f t="shared" si="4"/>
        <v>0</v>
      </c>
      <c r="AD10" s="115">
        <f t="shared" si="10"/>
        <v>0</v>
      </c>
      <c r="AE10" s="116">
        <f>VLOOKUP(C10,'Vorgabe ProKilowatt Bel'!$A$2:$C$45,3,FALSE)</f>
        <v>0</v>
      </c>
      <c r="AF10" s="88"/>
      <c r="AG10" s="117">
        <f t="shared" si="8"/>
        <v>0</v>
      </c>
      <c r="AH10" s="117">
        <f t="shared" si="9"/>
        <v>0</v>
      </c>
    </row>
    <row r="11" spans="1:35" ht="20.100000000000001" customHeight="1">
      <c r="A11" s="88"/>
      <c r="B11" s="104"/>
      <c r="C11" s="105" t="s">
        <v>265</v>
      </c>
      <c r="D11" s="200"/>
      <c r="E11" s="106">
        <f>VLOOKUP(C11,'Vorgabe ProKilowatt Bel'!$A$2:$B$45,2,FALSE)</f>
        <v>0</v>
      </c>
      <c r="F11" s="200">
        <f t="shared" si="0"/>
        <v>0</v>
      </c>
      <c r="G11" s="107"/>
      <c r="H11" s="200"/>
      <c r="I11" s="105"/>
      <c r="J11" s="200"/>
      <c r="K11" s="108">
        <f t="shared" si="5"/>
        <v>0</v>
      </c>
      <c r="L11" s="109">
        <f t="shared" si="6"/>
        <v>0</v>
      </c>
      <c r="M11" s="110" t="s">
        <v>333</v>
      </c>
      <c r="N11" s="111">
        <f>IF(M11="JA",VLOOKUP(C11,'Vorgabe ProKilowatt Bel'!$A$2:$D$45,4,FALSE),1)</f>
        <v>1</v>
      </c>
      <c r="O11" s="110" t="s">
        <v>333</v>
      </c>
      <c r="P11" s="111">
        <f>IF(O11="JA",VLOOKUP(C11,'Vorgabe ProKilowatt Bel'!$A$2:$E$45,5,FALSE),1)</f>
        <v>1</v>
      </c>
      <c r="Q11" s="200">
        <f t="shared" si="1"/>
        <v>0</v>
      </c>
      <c r="R11" s="107"/>
      <c r="S11" s="200"/>
      <c r="T11" s="105"/>
      <c r="U11" s="200"/>
      <c r="V11" s="109">
        <f t="shared" si="2"/>
        <v>0</v>
      </c>
      <c r="W11" s="109">
        <f t="shared" si="7"/>
        <v>0</v>
      </c>
      <c r="X11" s="112" t="s">
        <v>333</v>
      </c>
      <c r="Y11" s="113">
        <f>IF(X11="Ja",VLOOKUP(C11,'Vorgabe ProKilowatt Bel'!$A$2:$D$45,4,FALSE),1)</f>
        <v>1</v>
      </c>
      <c r="Z11" s="112" t="s">
        <v>333</v>
      </c>
      <c r="AA11" s="114">
        <f>IF(Z11="Ja",VLOOKUP(C11,'Vorgabe ProKilowatt Bel'!$A$2:$E$45,5,FALSE),1)</f>
        <v>1</v>
      </c>
      <c r="AB11" s="115">
        <f t="shared" si="3"/>
        <v>0</v>
      </c>
      <c r="AC11" s="115">
        <f t="shared" si="4"/>
        <v>0</v>
      </c>
      <c r="AD11" s="115">
        <f t="shared" si="10"/>
        <v>0</v>
      </c>
      <c r="AE11" s="116">
        <f>VLOOKUP(C11,'Vorgabe ProKilowatt Bel'!$A$2:$C$45,3,FALSE)</f>
        <v>0</v>
      </c>
      <c r="AF11" s="88"/>
      <c r="AG11" s="117">
        <f t="shared" si="8"/>
        <v>0</v>
      </c>
      <c r="AH11" s="117">
        <f t="shared" si="9"/>
        <v>0</v>
      </c>
    </row>
    <row r="12" spans="1:35" ht="20.100000000000001" customHeight="1">
      <c r="A12" s="88"/>
      <c r="B12" s="104"/>
      <c r="C12" s="105" t="s">
        <v>265</v>
      </c>
      <c r="D12" s="200"/>
      <c r="E12" s="106">
        <f>VLOOKUP(C12,'Vorgabe ProKilowatt Bel'!$A$2:$B$45,2,FALSE)</f>
        <v>0</v>
      </c>
      <c r="F12" s="200">
        <f t="shared" si="0"/>
        <v>0</v>
      </c>
      <c r="G12" s="107"/>
      <c r="H12" s="200"/>
      <c r="I12" s="105"/>
      <c r="J12" s="200"/>
      <c r="K12" s="108">
        <f t="shared" si="5"/>
        <v>0</v>
      </c>
      <c r="L12" s="109">
        <f t="shared" si="6"/>
        <v>0</v>
      </c>
      <c r="M12" s="110" t="s">
        <v>333</v>
      </c>
      <c r="N12" s="111">
        <f>IF(M12="JA",VLOOKUP(C12,'Vorgabe ProKilowatt Bel'!$A$2:$D$45,4,FALSE),1)</f>
        <v>1</v>
      </c>
      <c r="O12" s="110" t="s">
        <v>333</v>
      </c>
      <c r="P12" s="111">
        <f>IF(O12="JA",VLOOKUP(C12,'Vorgabe ProKilowatt Bel'!$A$2:$E$45,5,FALSE),1)</f>
        <v>1</v>
      </c>
      <c r="Q12" s="200">
        <f t="shared" si="1"/>
        <v>0</v>
      </c>
      <c r="R12" s="107"/>
      <c r="S12" s="200"/>
      <c r="T12" s="105"/>
      <c r="U12" s="200"/>
      <c r="V12" s="109">
        <f t="shared" si="2"/>
        <v>0</v>
      </c>
      <c r="W12" s="109">
        <f t="shared" si="7"/>
        <v>0</v>
      </c>
      <c r="X12" s="112" t="s">
        <v>333</v>
      </c>
      <c r="Y12" s="113">
        <f>IF(X12="Ja",VLOOKUP(C12,'Vorgabe ProKilowatt Bel'!$A$2:$D$45,4,FALSE),1)</f>
        <v>1</v>
      </c>
      <c r="Z12" s="112" t="s">
        <v>333</v>
      </c>
      <c r="AA12" s="114">
        <f>IF(Z12="Ja",VLOOKUP(C12,'Vorgabe ProKilowatt Bel'!$A$2:$E$45,5,FALSE),1)</f>
        <v>1</v>
      </c>
      <c r="AB12" s="115">
        <f t="shared" si="3"/>
        <v>0</v>
      </c>
      <c r="AC12" s="115">
        <f t="shared" si="4"/>
        <v>0</v>
      </c>
      <c r="AD12" s="115">
        <f t="shared" si="10"/>
        <v>0</v>
      </c>
      <c r="AE12" s="116">
        <f>VLOOKUP(C12,'Vorgabe ProKilowatt Bel'!$A$2:$C$45,3,FALSE)</f>
        <v>0</v>
      </c>
      <c r="AF12" s="88"/>
      <c r="AG12" s="117">
        <f t="shared" si="8"/>
        <v>0</v>
      </c>
      <c r="AH12" s="117">
        <f t="shared" si="9"/>
        <v>0</v>
      </c>
    </row>
    <row r="13" spans="1:35" ht="20.100000000000001" customHeight="1">
      <c r="A13" s="88"/>
      <c r="B13" s="104"/>
      <c r="C13" s="105" t="s">
        <v>265</v>
      </c>
      <c r="D13" s="200"/>
      <c r="E13" s="106">
        <f>VLOOKUP(C13,'Vorgabe ProKilowatt Bel'!$A$2:$B$45,2,FALSE)</f>
        <v>0</v>
      </c>
      <c r="F13" s="200">
        <f t="shared" si="0"/>
        <v>0</v>
      </c>
      <c r="G13" s="107"/>
      <c r="H13" s="200"/>
      <c r="I13" s="105"/>
      <c r="J13" s="200"/>
      <c r="K13" s="108">
        <f t="shared" si="5"/>
        <v>0</v>
      </c>
      <c r="L13" s="109">
        <f t="shared" si="6"/>
        <v>0</v>
      </c>
      <c r="M13" s="110" t="s">
        <v>333</v>
      </c>
      <c r="N13" s="111">
        <f>IF(M13="JA",VLOOKUP(C13,'Vorgabe ProKilowatt Bel'!$A$2:$D$45,4,FALSE),1)</f>
        <v>1</v>
      </c>
      <c r="O13" s="110" t="s">
        <v>333</v>
      </c>
      <c r="P13" s="111">
        <f>IF(O13="JA",VLOOKUP(C13,'Vorgabe ProKilowatt Bel'!$A$2:$E$45,5,FALSE),1)</f>
        <v>1</v>
      </c>
      <c r="Q13" s="200">
        <f t="shared" si="1"/>
        <v>0</v>
      </c>
      <c r="R13" s="107"/>
      <c r="S13" s="200"/>
      <c r="T13" s="105"/>
      <c r="U13" s="200"/>
      <c r="V13" s="109">
        <f t="shared" si="2"/>
        <v>0</v>
      </c>
      <c r="W13" s="109">
        <f t="shared" si="7"/>
        <v>0</v>
      </c>
      <c r="X13" s="112" t="s">
        <v>333</v>
      </c>
      <c r="Y13" s="113">
        <f>IF(X13="Ja",VLOOKUP(C13,'Vorgabe ProKilowatt Bel'!$A$2:$D$45,4,FALSE),1)</f>
        <v>1</v>
      </c>
      <c r="Z13" s="112" t="s">
        <v>333</v>
      </c>
      <c r="AA13" s="114">
        <f>IF(Z13="Ja",VLOOKUP(C13,'Vorgabe ProKilowatt Bel'!$A$2:$E$45,5,FALSE),1)</f>
        <v>1</v>
      </c>
      <c r="AB13" s="115">
        <f t="shared" si="3"/>
        <v>0</v>
      </c>
      <c r="AC13" s="115">
        <f t="shared" si="4"/>
        <v>0</v>
      </c>
      <c r="AD13" s="115">
        <f t="shared" si="10"/>
        <v>0</v>
      </c>
      <c r="AE13" s="116">
        <f>VLOOKUP(C13,'Vorgabe ProKilowatt Bel'!$A$2:$C$45,3,FALSE)</f>
        <v>0</v>
      </c>
      <c r="AF13" s="88"/>
      <c r="AG13" s="117">
        <f t="shared" si="8"/>
        <v>0</v>
      </c>
      <c r="AH13" s="117">
        <f t="shared" si="9"/>
        <v>0</v>
      </c>
    </row>
    <row r="14" spans="1:35" ht="20.100000000000001" customHeight="1">
      <c r="A14" s="88"/>
      <c r="B14" s="104"/>
      <c r="C14" s="105" t="s">
        <v>265</v>
      </c>
      <c r="D14" s="200"/>
      <c r="E14" s="106">
        <f>VLOOKUP(C14,'Vorgabe ProKilowatt Bel'!$A$2:$B$45,2,FALSE)</f>
        <v>0</v>
      </c>
      <c r="F14" s="200">
        <f t="shared" si="0"/>
        <v>0</v>
      </c>
      <c r="G14" s="107"/>
      <c r="H14" s="200"/>
      <c r="I14" s="105"/>
      <c r="J14" s="200"/>
      <c r="K14" s="108">
        <f t="shared" si="5"/>
        <v>0</v>
      </c>
      <c r="L14" s="109">
        <f t="shared" si="6"/>
        <v>0</v>
      </c>
      <c r="M14" s="110" t="s">
        <v>333</v>
      </c>
      <c r="N14" s="111">
        <f>IF(M14="JA",VLOOKUP(C14,'Vorgabe ProKilowatt Bel'!$A$2:$D$45,4,FALSE),1)</f>
        <v>1</v>
      </c>
      <c r="O14" s="110" t="s">
        <v>333</v>
      </c>
      <c r="P14" s="111">
        <f>IF(O14="JA",VLOOKUP(C14,'Vorgabe ProKilowatt Bel'!$A$2:$E$45,5,FALSE),1)</f>
        <v>1</v>
      </c>
      <c r="Q14" s="200">
        <f t="shared" si="1"/>
        <v>0</v>
      </c>
      <c r="R14" s="107"/>
      <c r="S14" s="200"/>
      <c r="T14" s="105"/>
      <c r="U14" s="200"/>
      <c r="V14" s="109">
        <f t="shared" si="2"/>
        <v>0</v>
      </c>
      <c r="W14" s="109">
        <f t="shared" si="7"/>
        <v>0</v>
      </c>
      <c r="X14" s="112" t="s">
        <v>333</v>
      </c>
      <c r="Y14" s="113">
        <f>IF(X14="Ja",VLOOKUP(C14,'Vorgabe ProKilowatt Bel'!$A$2:$D$45,4,FALSE),1)</f>
        <v>1</v>
      </c>
      <c r="Z14" s="112" t="s">
        <v>333</v>
      </c>
      <c r="AA14" s="114">
        <f>IF(Z14="Ja",VLOOKUP(C14,'Vorgabe ProKilowatt Bel'!$A$2:$E$45,5,FALSE),1)</f>
        <v>1</v>
      </c>
      <c r="AB14" s="115">
        <f t="shared" si="3"/>
        <v>0</v>
      </c>
      <c r="AC14" s="115">
        <f t="shared" si="4"/>
        <v>0</v>
      </c>
      <c r="AD14" s="115">
        <f t="shared" si="10"/>
        <v>0</v>
      </c>
      <c r="AE14" s="116">
        <f>VLOOKUP(C14,'Vorgabe ProKilowatt Bel'!$A$2:$C$45,3,FALSE)</f>
        <v>0</v>
      </c>
      <c r="AF14" s="88"/>
      <c r="AG14" s="117">
        <f t="shared" si="8"/>
        <v>0</v>
      </c>
      <c r="AH14" s="117">
        <f t="shared" si="9"/>
        <v>0</v>
      </c>
    </row>
    <row r="15" spans="1:35" ht="20.100000000000001" customHeight="1">
      <c r="A15" s="88"/>
      <c r="B15" s="104"/>
      <c r="C15" s="105" t="s">
        <v>265</v>
      </c>
      <c r="D15" s="200"/>
      <c r="E15" s="106">
        <f>VLOOKUP(C15,'Vorgabe ProKilowatt Bel'!$A$2:$B$45,2,FALSE)</f>
        <v>0</v>
      </c>
      <c r="F15" s="200">
        <f t="shared" si="0"/>
        <v>0</v>
      </c>
      <c r="G15" s="107"/>
      <c r="H15" s="200"/>
      <c r="I15" s="105"/>
      <c r="J15" s="200"/>
      <c r="K15" s="108">
        <f t="shared" si="5"/>
        <v>0</v>
      </c>
      <c r="L15" s="109">
        <f t="shared" si="6"/>
        <v>0</v>
      </c>
      <c r="M15" s="110" t="s">
        <v>333</v>
      </c>
      <c r="N15" s="111">
        <f>IF(M15="JA",VLOOKUP(C15,'Vorgabe ProKilowatt Bel'!$A$2:$D$45,4,FALSE),1)</f>
        <v>1</v>
      </c>
      <c r="O15" s="110" t="s">
        <v>333</v>
      </c>
      <c r="P15" s="111">
        <f>IF(O15="JA",VLOOKUP(C15,'Vorgabe ProKilowatt Bel'!$A$2:$E$45,5,FALSE),1)</f>
        <v>1</v>
      </c>
      <c r="Q15" s="200">
        <f t="shared" si="1"/>
        <v>0</v>
      </c>
      <c r="R15" s="107"/>
      <c r="S15" s="200"/>
      <c r="T15" s="105"/>
      <c r="U15" s="200"/>
      <c r="V15" s="109">
        <f t="shared" si="2"/>
        <v>0</v>
      </c>
      <c r="W15" s="109">
        <f t="shared" si="7"/>
        <v>0</v>
      </c>
      <c r="X15" s="112" t="s">
        <v>333</v>
      </c>
      <c r="Y15" s="113">
        <f>IF(X15="Ja",VLOOKUP(C15,'Vorgabe ProKilowatt Bel'!$A$2:$D$45,4,FALSE),1)</f>
        <v>1</v>
      </c>
      <c r="Z15" s="112" t="s">
        <v>333</v>
      </c>
      <c r="AA15" s="114">
        <f>IF(Z15="Ja",VLOOKUP(C15,'Vorgabe ProKilowatt Bel'!$A$2:$E$45,5,FALSE),1)</f>
        <v>1</v>
      </c>
      <c r="AB15" s="115">
        <f t="shared" si="3"/>
        <v>0</v>
      </c>
      <c r="AC15" s="115">
        <f t="shared" si="4"/>
        <v>0</v>
      </c>
      <c r="AD15" s="115">
        <f t="shared" si="10"/>
        <v>0</v>
      </c>
      <c r="AE15" s="116">
        <f>VLOOKUP(C15,'Vorgabe ProKilowatt Bel'!$A$2:$C$45,3,FALSE)</f>
        <v>0</v>
      </c>
      <c r="AF15" s="88"/>
      <c r="AG15" s="117">
        <f t="shared" si="8"/>
        <v>0</v>
      </c>
      <c r="AH15" s="117">
        <f t="shared" si="9"/>
        <v>0</v>
      </c>
    </row>
    <row r="16" spans="1:35" ht="20.100000000000001" customHeight="1">
      <c r="A16" s="88"/>
      <c r="B16" s="104"/>
      <c r="C16" s="105" t="s">
        <v>265</v>
      </c>
      <c r="D16" s="200"/>
      <c r="E16" s="106">
        <f>VLOOKUP(C16,'Vorgabe ProKilowatt Bel'!$A$2:$B$45,2,FALSE)</f>
        <v>0</v>
      </c>
      <c r="F16" s="200">
        <f t="shared" si="0"/>
        <v>0</v>
      </c>
      <c r="G16" s="107"/>
      <c r="H16" s="200"/>
      <c r="I16" s="105"/>
      <c r="J16" s="200"/>
      <c r="K16" s="108">
        <f t="shared" si="5"/>
        <v>0</v>
      </c>
      <c r="L16" s="109">
        <f t="shared" si="6"/>
        <v>0</v>
      </c>
      <c r="M16" s="110" t="s">
        <v>333</v>
      </c>
      <c r="N16" s="111">
        <f>IF(M16="JA",VLOOKUP(C16,'Vorgabe ProKilowatt Bel'!$A$2:$D$45,4,FALSE),1)</f>
        <v>1</v>
      </c>
      <c r="O16" s="110" t="s">
        <v>333</v>
      </c>
      <c r="P16" s="111">
        <f>IF(O16="JA",VLOOKUP(C16,'Vorgabe ProKilowatt Bel'!$A$2:$E$45,5,FALSE),1)</f>
        <v>1</v>
      </c>
      <c r="Q16" s="200">
        <f t="shared" si="1"/>
        <v>0</v>
      </c>
      <c r="R16" s="107"/>
      <c r="S16" s="200"/>
      <c r="T16" s="105"/>
      <c r="U16" s="200"/>
      <c r="V16" s="109">
        <f t="shared" si="2"/>
        <v>0</v>
      </c>
      <c r="W16" s="109">
        <f t="shared" si="7"/>
        <v>0</v>
      </c>
      <c r="X16" s="112" t="s">
        <v>333</v>
      </c>
      <c r="Y16" s="113">
        <f>IF(X16="Ja",VLOOKUP(C16,'Vorgabe ProKilowatt Bel'!$A$2:$D$45,4,FALSE),1)</f>
        <v>1</v>
      </c>
      <c r="Z16" s="112" t="s">
        <v>333</v>
      </c>
      <c r="AA16" s="114">
        <f>IF(Z16="Ja",VLOOKUP(C16,'Vorgabe ProKilowatt Bel'!$A$2:$E$45,5,FALSE),1)</f>
        <v>1</v>
      </c>
      <c r="AB16" s="115">
        <f t="shared" si="3"/>
        <v>0</v>
      </c>
      <c r="AC16" s="115">
        <f t="shared" si="4"/>
        <v>0</v>
      </c>
      <c r="AD16" s="115">
        <f t="shared" si="10"/>
        <v>0</v>
      </c>
      <c r="AE16" s="116">
        <f>VLOOKUP(C16,'Vorgabe ProKilowatt Bel'!$A$2:$C$45,3,FALSE)</f>
        <v>0</v>
      </c>
      <c r="AF16" s="88"/>
      <c r="AG16" s="117">
        <f t="shared" si="8"/>
        <v>0</v>
      </c>
      <c r="AH16" s="117">
        <f t="shared" si="9"/>
        <v>0</v>
      </c>
    </row>
    <row r="17" spans="1:34" ht="20.100000000000001" customHeight="1">
      <c r="A17" s="88"/>
      <c r="B17" s="104"/>
      <c r="C17" s="105" t="s">
        <v>265</v>
      </c>
      <c r="D17" s="200"/>
      <c r="E17" s="106">
        <f>VLOOKUP(C17,'Vorgabe ProKilowatt Bel'!$A$2:$B$45,2,FALSE)</f>
        <v>0</v>
      </c>
      <c r="F17" s="200">
        <f t="shared" si="0"/>
        <v>0</v>
      </c>
      <c r="G17" s="107"/>
      <c r="H17" s="200"/>
      <c r="I17" s="105"/>
      <c r="J17" s="200"/>
      <c r="K17" s="108">
        <f t="shared" si="5"/>
        <v>0</v>
      </c>
      <c r="L17" s="109">
        <f t="shared" si="6"/>
        <v>0</v>
      </c>
      <c r="M17" s="110" t="s">
        <v>333</v>
      </c>
      <c r="N17" s="111">
        <f>IF(M17="JA",VLOOKUP(C17,'Vorgabe ProKilowatt Bel'!$A$2:$D$45,4,FALSE),1)</f>
        <v>1</v>
      </c>
      <c r="O17" s="110" t="s">
        <v>333</v>
      </c>
      <c r="P17" s="111">
        <f>IF(O17="JA",VLOOKUP(C17,'Vorgabe ProKilowatt Bel'!$A$2:$E$45,5,FALSE),1)</f>
        <v>1</v>
      </c>
      <c r="Q17" s="200">
        <f t="shared" si="1"/>
        <v>0</v>
      </c>
      <c r="R17" s="107"/>
      <c r="S17" s="200"/>
      <c r="T17" s="105"/>
      <c r="U17" s="200"/>
      <c r="V17" s="109">
        <f t="shared" si="2"/>
        <v>0</v>
      </c>
      <c r="W17" s="109">
        <f t="shared" si="7"/>
        <v>0</v>
      </c>
      <c r="X17" s="112" t="s">
        <v>333</v>
      </c>
      <c r="Y17" s="113">
        <f>IF(X17="Ja",VLOOKUP(C17,'Vorgabe ProKilowatt Bel'!$A$2:$D$45,4,FALSE),1)</f>
        <v>1</v>
      </c>
      <c r="Z17" s="112" t="s">
        <v>333</v>
      </c>
      <c r="AA17" s="114">
        <f>IF(Z17="Ja",VLOOKUP(C17,'Vorgabe ProKilowatt Bel'!$A$2:$E$45,5,FALSE),1)</f>
        <v>1</v>
      </c>
      <c r="AB17" s="115">
        <f t="shared" si="3"/>
        <v>0</v>
      </c>
      <c r="AC17" s="115">
        <f t="shared" si="4"/>
        <v>0</v>
      </c>
      <c r="AD17" s="115">
        <f t="shared" si="10"/>
        <v>0</v>
      </c>
      <c r="AE17" s="116">
        <f>VLOOKUP(C17,'Vorgabe ProKilowatt Bel'!$A$2:$C$45,3,FALSE)</f>
        <v>0</v>
      </c>
      <c r="AF17" s="88"/>
      <c r="AG17" s="117">
        <f t="shared" si="8"/>
        <v>0</v>
      </c>
      <c r="AH17" s="117">
        <f t="shared" si="9"/>
        <v>0</v>
      </c>
    </row>
    <row r="18" spans="1:34" ht="20.100000000000001" customHeight="1">
      <c r="A18" s="88"/>
      <c r="B18" s="104"/>
      <c r="C18" s="105" t="s">
        <v>265</v>
      </c>
      <c r="D18" s="200"/>
      <c r="E18" s="106">
        <f>VLOOKUP(C18,'Vorgabe ProKilowatt Bel'!$A$2:$B$45,2,FALSE)</f>
        <v>0</v>
      </c>
      <c r="F18" s="200">
        <f t="shared" si="0"/>
        <v>0</v>
      </c>
      <c r="G18" s="107"/>
      <c r="H18" s="200"/>
      <c r="I18" s="105"/>
      <c r="J18" s="200"/>
      <c r="K18" s="108">
        <f t="shared" si="5"/>
        <v>0</v>
      </c>
      <c r="L18" s="109">
        <f t="shared" si="6"/>
        <v>0</v>
      </c>
      <c r="M18" s="110" t="s">
        <v>333</v>
      </c>
      <c r="N18" s="111">
        <f>IF(M18="JA",VLOOKUP(C18,'Vorgabe ProKilowatt Bel'!$A$2:$D$45,4,FALSE),1)</f>
        <v>1</v>
      </c>
      <c r="O18" s="110" t="s">
        <v>333</v>
      </c>
      <c r="P18" s="111">
        <f>IF(O18="JA",VLOOKUP(C18,'Vorgabe ProKilowatt Bel'!$A$2:$E$45,5,FALSE),1)</f>
        <v>1</v>
      </c>
      <c r="Q18" s="200">
        <f t="shared" si="1"/>
        <v>0</v>
      </c>
      <c r="R18" s="107"/>
      <c r="S18" s="200"/>
      <c r="T18" s="105"/>
      <c r="U18" s="200"/>
      <c r="V18" s="109">
        <f t="shared" si="2"/>
        <v>0</v>
      </c>
      <c r="W18" s="109">
        <f t="shared" si="7"/>
        <v>0</v>
      </c>
      <c r="X18" s="112" t="s">
        <v>333</v>
      </c>
      <c r="Y18" s="113">
        <f>IF(X18="Ja",VLOOKUP(C18,'Vorgabe ProKilowatt Bel'!$A$2:$D$45,4,FALSE),1)</f>
        <v>1</v>
      </c>
      <c r="Z18" s="112" t="s">
        <v>333</v>
      </c>
      <c r="AA18" s="114">
        <f>IF(Z18="Ja",VLOOKUP(C18,'Vorgabe ProKilowatt Bel'!$A$2:$E$45,5,FALSE),1)</f>
        <v>1</v>
      </c>
      <c r="AB18" s="115">
        <f t="shared" si="3"/>
        <v>0</v>
      </c>
      <c r="AC18" s="115">
        <f t="shared" si="4"/>
        <v>0</v>
      </c>
      <c r="AD18" s="115">
        <f t="shared" si="10"/>
        <v>0</v>
      </c>
      <c r="AE18" s="116">
        <f>VLOOKUP(C18,'Vorgabe ProKilowatt Bel'!$A$2:$C$45,3,FALSE)</f>
        <v>0</v>
      </c>
      <c r="AF18" s="88"/>
      <c r="AG18" s="117">
        <f t="shared" si="8"/>
        <v>0</v>
      </c>
      <c r="AH18" s="117">
        <f t="shared" si="9"/>
        <v>0</v>
      </c>
    </row>
    <row r="19" spans="1:34" ht="20.100000000000001" customHeight="1">
      <c r="A19" s="88"/>
      <c r="B19" s="104"/>
      <c r="C19" s="105" t="s">
        <v>265</v>
      </c>
      <c r="D19" s="200"/>
      <c r="E19" s="106">
        <f>VLOOKUP(C19,'Vorgabe ProKilowatt Bel'!$A$2:$B$45,2,FALSE)</f>
        <v>0</v>
      </c>
      <c r="F19" s="200">
        <f t="shared" si="0"/>
        <v>0</v>
      </c>
      <c r="G19" s="107"/>
      <c r="H19" s="200"/>
      <c r="I19" s="105"/>
      <c r="J19" s="200"/>
      <c r="K19" s="108">
        <f t="shared" si="5"/>
        <v>0</v>
      </c>
      <c r="L19" s="109">
        <f t="shared" si="6"/>
        <v>0</v>
      </c>
      <c r="M19" s="110" t="s">
        <v>333</v>
      </c>
      <c r="N19" s="111">
        <f>IF(M19="JA",VLOOKUP(C19,'Vorgabe ProKilowatt Bel'!$A$2:$D$45,4,FALSE),1)</f>
        <v>1</v>
      </c>
      <c r="O19" s="110" t="s">
        <v>333</v>
      </c>
      <c r="P19" s="111">
        <f>IF(O19="JA",VLOOKUP(C19,'Vorgabe ProKilowatt Bel'!$A$2:$E$45,5,FALSE),1)</f>
        <v>1</v>
      </c>
      <c r="Q19" s="200">
        <f t="shared" si="1"/>
        <v>0</v>
      </c>
      <c r="R19" s="107"/>
      <c r="S19" s="200"/>
      <c r="T19" s="105"/>
      <c r="U19" s="200"/>
      <c r="V19" s="109">
        <f t="shared" si="2"/>
        <v>0</v>
      </c>
      <c r="W19" s="109">
        <f t="shared" si="7"/>
        <v>0</v>
      </c>
      <c r="X19" s="112" t="s">
        <v>333</v>
      </c>
      <c r="Y19" s="113">
        <f>IF(X19="Ja",VLOOKUP(C19,'Vorgabe ProKilowatt Bel'!$A$2:$D$45,4,FALSE),1)</f>
        <v>1</v>
      </c>
      <c r="Z19" s="112" t="s">
        <v>333</v>
      </c>
      <c r="AA19" s="114">
        <f>IF(Z19="Ja",VLOOKUP(C19,'Vorgabe ProKilowatt Bel'!$A$2:$E$45,5,FALSE),1)</f>
        <v>1</v>
      </c>
      <c r="AB19" s="115">
        <f t="shared" si="3"/>
        <v>0</v>
      </c>
      <c r="AC19" s="115">
        <f t="shared" si="4"/>
        <v>0</v>
      </c>
      <c r="AD19" s="115">
        <f t="shared" si="10"/>
        <v>0</v>
      </c>
      <c r="AE19" s="116">
        <f>VLOOKUP(C19,'Vorgabe ProKilowatt Bel'!$A$2:$C$45,3,FALSE)</f>
        <v>0</v>
      </c>
      <c r="AF19" s="88"/>
      <c r="AG19" s="117">
        <f t="shared" si="8"/>
        <v>0</v>
      </c>
      <c r="AH19" s="117">
        <f t="shared" si="9"/>
        <v>0</v>
      </c>
    </row>
    <row r="20" spans="1:34" ht="18.75" customHeight="1">
      <c r="A20" s="88"/>
      <c r="B20" s="104"/>
      <c r="C20" s="105" t="s">
        <v>265</v>
      </c>
      <c r="D20" s="200"/>
      <c r="E20" s="106">
        <f>VLOOKUP(C20,'Vorgabe ProKilowatt Bel'!$A$2:$B$45,2,FALSE)</f>
        <v>0</v>
      </c>
      <c r="F20" s="200">
        <f t="shared" si="0"/>
        <v>0</v>
      </c>
      <c r="G20" s="107"/>
      <c r="H20" s="200"/>
      <c r="I20" s="105"/>
      <c r="J20" s="200"/>
      <c r="K20" s="108">
        <f t="shared" si="5"/>
        <v>0</v>
      </c>
      <c r="L20" s="109">
        <f t="shared" si="6"/>
        <v>0</v>
      </c>
      <c r="M20" s="110" t="s">
        <v>333</v>
      </c>
      <c r="N20" s="111">
        <f>IF(M20="JA",VLOOKUP(C20,'Vorgabe ProKilowatt Bel'!$A$2:$D$45,4,FALSE),1)</f>
        <v>1</v>
      </c>
      <c r="O20" s="110" t="s">
        <v>333</v>
      </c>
      <c r="P20" s="111">
        <f>IF(O20="JA",VLOOKUP(C20,'Vorgabe ProKilowatt Bel'!$A$2:$E$45,5,FALSE),1)</f>
        <v>1</v>
      </c>
      <c r="Q20" s="200">
        <f t="shared" si="1"/>
        <v>0</v>
      </c>
      <c r="R20" s="107"/>
      <c r="S20" s="200"/>
      <c r="T20" s="105"/>
      <c r="U20" s="200"/>
      <c r="V20" s="109">
        <f t="shared" si="2"/>
        <v>0</v>
      </c>
      <c r="W20" s="109">
        <f t="shared" si="7"/>
        <v>0</v>
      </c>
      <c r="X20" s="112" t="s">
        <v>333</v>
      </c>
      <c r="Y20" s="113">
        <f>IF(X20="Ja",VLOOKUP(C20,'Vorgabe ProKilowatt Bel'!$A$2:$D$45,4,FALSE),1)</f>
        <v>1</v>
      </c>
      <c r="Z20" s="112" t="s">
        <v>333</v>
      </c>
      <c r="AA20" s="114">
        <f>IF(Z20="Ja",VLOOKUP(C20,'Vorgabe ProKilowatt Bel'!$A$2:$E$45,5,FALSE),1)</f>
        <v>1</v>
      </c>
      <c r="AB20" s="115">
        <f t="shared" si="3"/>
        <v>0</v>
      </c>
      <c r="AC20" s="115">
        <f t="shared" si="4"/>
        <v>0</v>
      </c>
      <c r="AD20" s="115">
        <f t="shared" si="10"/>
        <v>0</v>
      </c>
      <c r="AE20" s="116">
        <f>VLOOKUP(C20,'Vorgabe ProKilowatt Bel'!$A$2:$C$45,3,FALSE)</f>
        <v>0</v>
      </c>
      <c r="AF20" s="88"/>
      <c r="AG20" s="117">
        <f t="shared" si="8"/>
        <v>0</v>
      </c>
      <c r="AH20" s="117">
        <f t="shared" si="9"/>
        <v>0</v>
      </c>
    </row>
    <row r="21" spans="1:34" ht="20.100000000000001" customHeight="1">
      <c r="A21" s="88"/>
      <c r="B21" s="104"/>
      <c r="C21" s="105" t="s">
        <v>265</v>
      </c>
      <c r="D21" s="200"/>
      <c r="E21" s="106">
        <f>VLOOKUP(C21,'Vorgabe ProKilowatt Bel'!$A$2:$B$45,2,FALSE)</f>
        <v>0</v>
      </c>
      <c r="F21" s="200">
        <f t="shared" si="0"/>
        <v>0</v>
      </c>
      <c r="G21" s="107"/>
      <c r="H21" s="200"/>
      <c r="I21" s="105"/>
      <c r="J21" s="200"/>
      <c r="K21" s="108">
        <f t="shared" si="5"/>
        <v>0</v>
      </c>
      <c r="L21" s="109">
        <f t="shared" si="6"/>
        <v>0</v>
      </c>
      <c r="M21" s="110" t="s">
        <v>333</v>
      </c>
      <c r="N21" s="111">
        <f>IF(M21="JA",VLOOKUP(C21,'Vorgabe ProKilowatt Bel'!$A$2:$D$45,4,FALSE),1)</f>
        <v>1</v>
      </c>
      <c r="O21" s="110" t="s">
        <v>333</v>
      </c>
      <c r="P21" s="111">
        <f>IF(O21="JA",VLOOKUP(C21,'Vorgabe ProKilowatt Bel'!$A$2:$E$45,5,FALSE),1)</f>
        <v>1</v>
      </c>
      <c r="Q21" s="200">
        <f t="shared" si="1"/>
        <v>0</v>
      </c>
      <c r="R21" s="107"/>
      <c r="S21" s="200"/>
      <c r="T21" s="105"/>
      <c r="U21" s="200"/>
      <c r="V21" s="109">
        <f t="shared" si="2"/>
        <v>0</v>
      </c>
      <c r="W21" s="109">
        <f t="shared" si="7"/>
        <v>0</v>
      </c>
      <c r="X21" s="112" t="s">
        <v>333</v>
      </c>
      <c r="Y21" s="113">
        <f>IF(X21="Ja",VLOOKUP(C21,'Vorgabe ProKilowatt Bel'!$A$2:$D$45,4,FALSE),1)</f>
        <v>1</v>
      </c>
      <c r="Z21" s="112" t="s">
        <v>333</v>
      </c>
      <c r="AA21" s="114">
        <f>IF(Z21="Ja",VLOOKUP(C21,'Vorgabe ProKilowatt Bel'!$A$2:$E$45,5,FALSE),1)</f>
        <v>1</v>
      </c>
      <c r="AB21" s="115">
        <f t="shared" si="3"/>
        <v>0</v>
      </c>
      <c r="AC21" s="115">
        <f t="shared" ref="AC21:AC37" si="11">IF($AG$49&lt;=$AH$49,IF(W21&gt;0,IF(D21&gt;0,AB21/D21,0),0),IF(AD21&lt;AE21,IF(W21&gt;0,IF(D21&gt;0,AB21/D21,0),0),0))</f>
        <v>0</v>
      </c>
      <c r="AD21" s="115">
        <f t="shared" si="10"/>
        <v>0</v>
      </c>
      <c r="AE21" s="116">
        <f>VLOOKUP(C21,'Vorgabe ProKilowatt Bel'!$A$2:$C$45,3,FALSE)</f>
        <v>0</v>
      </c>
      <c r="AF21" s="88"/>
      <c r="AG21" s="117">
        <f t="shared" si="8"/>
        <v>0</v>
      </c>
      <c r="AH21" s="117">
        <f t="shared" si="9"/>
        <v>0</v>
      </c>
    </row>
    <row r="22" spans="1:34" ht="20.100000000000001" customHeight="1">
      <c r="A22" s="88"/>
      <c r="B22" s="104"/>
      <c r="C22" s="105" t="s">
        <v>265</v>
      </c>
      <c r="D22" s="200"/>
      <c r="E22" s="106">
        <f>VLOOKUP(C22,'Vorgabe ProKilowatt Bel'!$A$2:$B$45,2,FALSE)</f>
        <v>0</v>
      </c>
      <c r="F22" s="200">
        <f t="shared" si="0"/>
        <v>0</v>
      </c>
      <c r="G22" s="107"/>
      <c r="H22" s="200"/>
      <c r="I22" s="105"/>
      <c r="J22" s="200"/>
      <c r="K22" s="108">
        <f t="shared" si="5"/>
        <v>0</v>
      </c>
      <c r="L22" s="109">
        <f t="shared" si="6"/>
        <v>0</v>
      </c>
      <c r="M22" s="110" t="s">
        <v>333</v>
      </c>
      <c r="N22" s="111">
        <f>IF(M22="JA",VLOOKUP(C22,'Vorgabe ProKilowatt Bel'!$A$2:$D$45,4,FALSE),1)</f>
        <v>1</v>
      </c>
      <c r="O22" s="110" t="s">
        <v>333</v>
      </c>
      <c r="P22" s="111">
        <f>IF(O22="JA",VLOOKUP(C22,'Vorgabe ProKilowatt Bel'!$A$2:$E$45,5,FALSE),1)</f>
        <v>1</v>
      </c>
      <c r="Q22" s="200">
        <f t="shared" si="1"/>
        <v>0</v>
      </c>
      <c r="R22" s="107"/>
      <c r="S22" s="200"/>
      <c r="T22" s="105"/>
      <c r="U22" s="200"/>
      <c r="V22" s="109">
        <f t="shared" si="2"/>
        <v>0</v>
      </c>
      <c r="W22" s="109">
        <f t="shared" si="7"/>
        <v>0</v>
      </c>
      <c r="X22" s="112" t="s">
        <v>333</v>
      </c>
      <c r="Y22" s="113">
        <f>IF(X22="Ja",VLOOKUP(C22,'Vorgabe ProKilowatt Bel'!$A$2:$D$45,4,FALSE),1)</f>
        <v>1</v>
      </c>
      <c r="Z22" s="112" t="s">
        <v>333</v>
      </c>
      <c r="AA22" s="114">
        <f>IF(Z22="Ja",VLOOKUP(C22,'Vorgabe ProKilowatt Bel'!$A$2:$E$45,5,FALSE),1)</f>
        <v>1</v>
      </c>
      <c r="AB22" s="115">
        <f t="shared" si="3"/>
        <v>0</v>
      </c>
      <c r="AC22" s="115">
        <f t="shared" si="11"/>
        <v>0</v>
      </c>
      <c r="AD22" s="115">
        <f t="shared" si="10"/>
        <v>0</v>
      </c>
      <c r="AE22" s="116">
        <f>VLOOKUP(C22,'Vorgabe ProKilowatt Bel'!$A$2:$C$45,3,FALSE)</f>
        <v>0</v>
      </c>
      <c r="AF22" s="88"/>
      <c r="AG22" s="117">
        <f t="shared" si="8"/>
        <v>0</v>
      </c>
      <c r="AH22" s="117">
        <f t="shared" si="9"/>
        <v>0</v>
      </c>
    </row>
    <row r="23" spans="1:34" ht="20.100000000000001" customHeight="1">
      <c r="A23" s="88"/>
      <c r="B23" s="104"/>
      <c r="C23" s="105" t="s">
        <v>265</v>
      </c>
      <c r="D23" s="200"/>
      <c r="E23" s="106">
        <f>VLOOKUP(C23,'Vorgabe ProKilowatt Bel'!$A$2:$B$45,2,FALSE)</f>
        <v>0</v>
      </c>
      <c r="F23" s="200">
        <f t="shared" si="0"/>
        <v>0</v>
      </c>
      <c r="G23" s="107"/>
      <c r="H23" s="200"/>
      <c r="I23" s="105"/>
      <c r="J23" s="200"/>
      <c r="K23" s="108">
        <f t="shared" si="5"/>
        <v>0</v>
      </c>
      <c r="L23" s="109">
        <f t="shared" si="6"/>
        <v>0</v>
      </c>
      <c r="M23" s="110" t="s">
        <v>333</v>
      </c>
      <c r="N23" s="111">
        <f>IF(M23="JA",VLOOKUP(C23,'Vorgabe ProKilowatt Bel'!$A$2:$D$45,4,FALSE),1)</f>
        <v>1</v>
      </c>
      <c r="O23" s="110" t="s">
        <v>333</v>
      </c>
      <c r="P23" s="111">
        <f>IF(O23="JA",VLOOKUP(C23,'Vorgabe ProKilowatt Bel'!$A$2:$E$45,5,FALSE),1)</f>
        <v>1</v>
      </c>
      <c r="Q23" s="200">
        <f t="shared" si="1"/>
        <v>0</v>
      </c>
      <c r="R23" s="107"/>
      <c r="S23" s="200"/>
      <c r="T23" s="105"/>
      <c r="U23" s="200"/>
      <c r="V23" s="109">
        <f t="shared" si="2"/>
        <v>0</v>
      </c>
      <c r="W23" s="109">
        <f t="shared" si="7"/>
        <v>0</v>
      </c>
      <c r="X23" s="112" t="s">
        <v>333</v>
      </c>
      <c r="Y23" s="113">
        <f>IF(X23="Ja",VLOOKUP(C23,'Vorgabe ProKilowatt Bel'!$A$2:$D$45,4,FALSE),1)</f>
        <v>1</v>
      </c>
      <c r="Z23" s="112" t="s">
        <v>333</v>
      </c>
      <c r="AA23" s="114">
        <f>IF(Z23="Ja",VLOOKUP(C23,'Vorgabe ProKilowatt Bel'!$A$2:$E$45,5,FALSE),1)</f>
        <v>1</v>
      </c>
      <c r="AB23" s="115">
        <f t="shared" si="3"/>
        <v>0</v>
      </c>
      <c r="AC23" s="115">
        <f t="shared" si="11"/>
        <v>0</v>
      </c>
      <c r="AD23" s="115">
        <f t="shared" si="10"/>
        <v>0</v>
      </c>
      <c r="AE23" s="116">
        <f>VLOOKUP(C23,'Vorgabe ProKilowatt Bel'!$A$2:$C$45,3,FALSE)</f>
        <v>0</v>
      </c>
      <c r="AF23" s="88"/>
      <c r="AG23" s="117">
        <f t="shared" si="8"/>
        <v>0</v>
      </c>
      <c r="AH23" s="117">
        <f t="shared" si="9"/>
        <v>0</v>
      </c>
    </row>
    <row r="24" spans="1:34" ht="20.100000000000001" customHeight="1">
      <c r="A24" s="88"/>
      <c r="B24" s="104"/>
      <c r="C24" s="105" t="s">
        <v>265</v>
      </c>
      <c r="D24" s="200"/>
      <c r="E24" s="106">
        <f>VLOOKUP(C24,'Vorgabe ProKilowatt Bel'!$A$2:$B$45,2,FALSE)</f>
        <v>0</v>
      </c>
      <c r="F24" s="200">
        <f t="shared" si="0"/>
        <v>0</v>
      </c>
      <c r="G24" s="107"/>
      <c r="H24" s="200"/>
      <c r="I24" s="105"/>
      <c r="J24" s="200"/>
      <c r="K24" s="108">
        <f t="shared" si="5"/>
        <v>0</v>
      </c>
      <c r="L24" s="109">
        <f t="shared" si="6"/>
        <v>0</v>
      </c>
      <c r="M24" s="110" t="s">
        <v>333</v>
      </c>
      <c r="N24" s="111">
        <f>IF(M24="JA",VLOOKUP(C24,'Vorgabe ProKilowatt Bel'!$A$2:$D$45,4,FALSE),1)</f>
        <v>1</v>
      </c>
      <c r="O24" s="110" t="s">
        <v>333</v>
      </c>
      <c r="P24" s="111">
        <f>IF(O24="JA",VLOOKUP(C24,'Vorgabe ProKilowatt Bel'!$A$2:$E$45,5,FALSE),1)</f>
        <v>1</v>
      </c>
      <c r="Q24" s="200">
        <f t="shared" si="1"/>
        <v>0</v>
      </c>
      <c r="R24" s="107"/>
      <c r="S24" s="200"/>
      <c r="T24" s="105"/>
      <c r="U24" s="200"/>
      <c r="V24" s="109">
        <f t="shared" si="2"/>
        <v>0</v>
      </c>
      <c r="W24" s="109">
        <f t="shared" si="7"/>
        <v>0</v>
      </c>
      <c r="X24" s="112" t="s">
        <v>333</v>
      </c>
      <c r="Y24" s="113">
        <f>IF(X24="Ja",VLOOKUP(C24,'Vorgabe ProKilowatt Bel'!$A$2:$D$45,4,FALSE),1)</f>
        <v>1</v>
      </c>
      <c r="Z24" s="112" t="s">
        <v>333</v>
      </c>
      <c r="AA24" s="114">
        <f>IF(Z24="Ja",VLOOKUP(C24,'Vorgabe ProKilowatt Bel'!$A$2:$E$45,5,FALSE),1)</f>
        <v>1</v>
      </c>
      <c r="AB24" s="115">
        <f t="shared" si="3"/>
        <v>0</v>
      </c>
      <c r="AC24" s="115">
        <f t="shared" si="11"/>
        <v>0</v>
      </c>
      <c r="AD24" s="115">
        <f t="shared" si="10"/>
        <v>0</v>
      </c>
      <c r="AE24" s="116">
        <f>VLOOKUP(C24,'Vorgabe ProKilowatt Bel'!$A$2:$C$45,3,FALSE)</f>
        <v>0</v>
      </c>
      <c r="AF24" s="88"/>
      <c r="AG24" s="117">
        <f t="shared" si="8"/>
        <v>0</v>
      </c>
      <c r="AH24" s="117">
        <f t="shared" si="9"/>
        <v>0</v>
      </c>
    </row>
    <row r="25" spans="1:34" ht="20.100000000000001" customHeight="1">
      <c r="A25" s="88"/>
      <c r="B25" s="104"/>
      <c r="C25" s="105" t="s">
        <v>265</v>
      </c>
      <c r="D25" s="200"/>
      <c r="E25" s="106">
        <f>VLOOKUP(C25,'Vorgabe ProKilowatt Bel'!$A$2:$B$45,2,FALSE)</f>
        <v>0</v>
      </c>
      <c r="F25" s="200">
        <f t="shared" si="0"/>
        <v>0</v>
      </c>
      <c r="G25" s="107"/>
      <c r="H25" s="200"/>
      <c r="I25" s="105"/>
      <c r="J25" s="200"/>
      <c r="K25" s="108">
        <f t="shared" si="5"/>
        <v>0</v>
      </c>
      <c r="L25" s="109">
        <f t="shared" si="6"/>
        <v>0</v>
      </c>
      <c r="M25" s="110" t="s">
        <v>333</v>
      </c>
      <c r="N25" s="111">
        <f>IF(M25="JA",VLOOKUP(C25,'Vorgabe ProKilowatt Bel'!$A$2:$D$45,4,FALSE),1)</f>
        <v>1</v>
      </c>
      <c r="O25" s="110" t="s">
        <v>333</v>
      </c>
      <c r="P25" s="111">
        <f>IF(O25="JA",VLOOKUP(C25,'Vorgabe ProKilowatt Bel'!$A$2:$E$45,5,FALSE),1)</f>
        <v>1</v>
      </c>
      <c r="Q25" s="200">
        <f t="shared" si="1"/>
        <v>0</v>
      </c>
      <c r="R25" s="107"/>
      <c r="S25" s="200"/>
      <c r="T25" s="105"/>
      <c r="U25" s="200"/>
      <c r="V25" s="109">
        <f t="shared" si="2"/>
        <v>0</v>
      </c>
      <c r="W25" s="109">
        <f t="shared" si="7"/>
        <v>0</v>
      </c>
      <c r="X25" s="112" t="s">
        <v>333</v>
      </c>
      <c r="Y25" s="113">
        <f>IF(X25="Ja",VLOOKUP(C25,'Vorgabe ProKilowatt Bel'!$A$2:$D$45,4,FALSE),1)</f>
        <v>1</v>
      </c>
      <c r="Z25" s="112" t="s">
        <v>333</v>
      </c>
      <c r="AA25" s="114">
        <f>IF(Z25="Ja",VLOOKUP(C25,'Vorgabe ProKilowatt Bel'!$A$2:$E$45,5,FALSE),1)</f>
        <v>1</v>
      </c>
      <c r="AB25" s="115">
        <f t="shared" si="3"/>
        <v>0</v>
      </c>
      <c r="AC25" s="115">
        <f t="shared" si="11"/>
        <v>0</v>
      </c>
      <c r="AD25" s="115">
        <f t="shared" si="10"/>
        <v>0</v>
      </c>
      <c r="AE25" s="116">
        <f>VLOOKUP(C25,'Vorgabe ProKilowatt Bel'!$A$2:$C$45,3,FALSE)</f>
        <v>0</v>
      </c>
      <c r="AF25" s="88"/>
      <c r="AG25" s="117">
        <f t="shared" si="8"/>
        <v>0</v>
      </c>
      <c r="AH25" s="117">
        <f t="shared" si="9"/>
        <v>0</v>
      </c>
    </row>
    <row r="26" spans="1:34" ht="20.100000000000001" customHeight="1">
      <c r="A26" s="88"/>
      <c r="B26" s="104"/>
      <c r="C26" s="105" t="s">
        <v>265</v>
      </c>
      <c r="D26" s="200"/>
      <c r="E26" s="106">
        <f>VLOOKUP(C26,'Vorgabe ProKilowatt Bel'!$A$2:$B$45,2,FALSE)</f>
        <v>0</v>
      </c>
      <c r="F26" s="200">
        <f t="shared" si="0"/>
        <v>0</v>
      </c>
      <c r="G26" s="107"/>
      <c r="H26" s="200"/>
      <c r="I26" s="105"/>
      <c r="J26" s="200"/>
      <c r="K26" s="108">
        <f t="shared" si="5"/>
        <v>0</v>
      </c>
      <c r="L26" s="109">
        <f t="shared" si="6"/>
        <v>0</v>
      </c>
      <c r="M26" s="110" t="s">
        <v>333</v>
      </c>
      <c r="N26" s="111">
        <f>IF(M26="JA",VLOOKUP(C26,'Vorgabe ProKilowatt Bel'!$A$2:$D$45,4,FALSE),1)</f>
        <v>1</v>
      </c>
      <c r="O26" s="110" t="s">
        <v>333</v>
      </c>
      <c r="P26" s="111">
        <f>IF(O26="JA",VLOOKUP(C26,'Vorgabe ProKilowatt Bel'!$A$2:$E$45,5,FALSE),1)</f>
        <v>1</v>
      </c>
      <c r="Q26" s="200">
        <f t="shared" si="1"/>
        <v>0</v>
      </c>
      <c r="R26" s="107"/>
      <c r="S26" s="200"/>
      <c r="T26" s="105"/>
      <c r="U26" s="200"/>
      <c r="V26" s="109">
        <f t="shared" si="2"/>
        <v>0</v>
      </c>
      <c r="W26" s="109">
        <f t="shared" si="7"/>
        <v>0</v>
      </c>
      <c r="X26" s="112" t="s">
        <v>333</v>
      </c>
      <c r="Y26" s="113">
        <f>IF(X26="Ja",VLOOKUP(C26,'Vorgabe ProKilowatt Bel'!$A$2:$D$45,4,FALSE),1)</f>
        <v>1</v>
      </c>
      <c r="Z26" s="112" t="s">
        <v>333</v>
      </c>
      <c r="AA26" s="114">
        <f>IF(Z26="Ja",VLOOKUP(C26,'Vorgabe ProKilowatt Bel'!$A$2:$E$45,5,FALSE),1)</f>
        <v>1</v>
      </c>
      <c r="AB26" s="115">
        <f t="shared" si="3"/>
        <v>0</v>
      </c>
      <c r="AC26" s="115">
        <f t="shared" si="11"/>
        <v>0</v>
      </c>
      <c r="AD26" s="115">
        <f t="shared" si="10"/>
        <v>0</v>
      </c>
      <c r="AE26" s="116">
        <f>VLOOKUP(C26,'Vorgabe ProKilowatt Bel'!$A$2:$C$45,3,FALSE)</f>
        <v>0</v>
      </c>
      <c r="AF26" s="88"/>
      <c r="AG26" s="117">
        <f t="shared" si="8"/>
        <v>0</v>
      </c>
      <c r="AH26" s="117">
        <f t="shared" si="9"/>
        <v>0</v>
      </c>
    </row>
    <row r="27" spans="1:34" ht="20.100000000000001" customHeight="1">
      <c r="A27" s="88"/>
      <c r="B27" s="104"/>
      <c r="C27" s="105" t="s">
        <v>265</v>
      </c>
      <c r="D27" s="200"/>
      <c r="E27" s="106">
        <f>VLOOKUP(C27,'Vorgabe ProKilowatt Bel'!$A$2:$B$45,2,FALSE)</f>
        <v>0</v>
      </c>
      <c r="F27" s="200">
        <f t="shared" si="0"/>
        <v>0</v>
      </c>
      <c r="G27" s="107"/>
      <c r="H27" s="200"/>
      <c r="I27" s="105"/>
      <c r="J27" s="200"/>
      <c r="K27" s="108">
        <f t="shared" si="5"/>
        <v>0</v>
      </c>
      <c r="L27" s="109">
        <f t="shared" si="6"/>
        <v>0</v>
      </c>
      <c r="M27" s="110" t="s">
        <v>333</v>
      </c>
      <c r="N27" s="111">
        <f>IF(M27="JA",VLOOKUP(C27,'Vorgabe ProKilowatt Bel'!$A$2:$D$45,4,FALSE),1)</f>
        <v>1</v>
      </c>
      <c r="O27" s="110" t="s">
        <v>333</v>
      </c>
      <c r="P27" s="111">
        <f>IF(O27="JA",VLOOKUP(C27,'Vorgabe ProKilowatt Bel'!$A$2:$E$45,5,FALSE),1)</f>
        <v>1</v>
      </c>
      <c r="Q27" s="200">
        <f t="shared" si="1"/>
        <v>0</v>
      </c>
      <c r="R27" s="107"/>
      <c r="S27" s="200"/>
      <c r="T27" s="105"/>
      <c r="U27" s="200"/>
      <c r="V27" s="109">
        <f t="shared" si="2"/>
        <v>0</v>
      </c>
      <c r="W27" s="109">
        <f t="shared" si="7"/>
        <v>0</v>
      </c>
      <c r="X27" s="112" t="s">
        <v>333</v>
      </c>
      <c r="Y27" s="113">
        <f>IF(X27="Ja",VLOOKUP(C27,'Vorgabe ProKilowatt Bel'!$A$2:$D$45,4,FALSE),1)</f>
        <v>1</v>
      </c>
      <c r="Z27" s="112" t="s">
        <v>333</v>
      </c>
      <c r="AA27" s="114">
        <f>IF(Z27="Ja",VLOOKUP(C27,'Vorgabe ProKilowatt Bel'!$A$2:$E$45,5,FALSE),1)</f>
        <v>1</v>
      </c>
      <c r="AB27" s="115">
        <f t="shared" si="3"/>
        <v>0</v>
      </c>
      <c r="AC27" s="115">
        <f t="shared" si="11"/>
        <v>0</v>
      </c>
      <c r="AD27" s="115">
        <f t="shared" si="10"/>
        <v>0</v>
      </c>
      <c r="AE27" s="116">
        <f>VLOOKUP(C27,'Vorgabe ProKilowatt Bel'!$A$2:$C$45,3,FALSE)</f>
        <v>0</v>
      </c>
      <c r="AF27" s="88"/>
      <c r="AG27" s="117">
        <f t="shared" si="8"/>
        <v>0</v>
      </c>
      <c r="AH27" s="117">
        <f t="shared" si="9"/>
        <v>0</v>
      </c>
    </row>
    <row r="28" spans="1:34" ht="20.100000000000001" customHeight="1">
      <c r="A28" s="88"/>
      <c r="B28" s="104"/>
      <c r="C28" s="105" t="s">
        <v>265</v>
      </c>
      <c r="D28" s="200"/>
      <c r="E28" s="106">
        <f>VLOOKUP(C28,'Vorgabe ProKilowatt Bel'!$A$2:$B$45,2,FALSE)</f>
        <v>0</v>
      </c>
      <c r="F28" s="200">
        <f t="shared" si="0"/>
        <v>0</v>
      </c>
      <c r="G28" s="107"/>
      <c r="H28" s="200"/>
      <c r="I28" s="105"/>
      <c r="J28" s="200"/>
      <c r="K28" s="108">
        <f t="shared" si="5"/>
        <v>0</v>
      </c>
      <c r="L28" s="109">
        <f t="shared" si="6"/>
        <v>0</v>
      </c>
      <c r="M28" s="110" t="s">
        <v>333</v>
      </c>
      <c r="N28" s="111">
        <f>IF(M28="JA",VLOOKUP(C28,'Vorgabe ProKilowatt Bel'!$A$2:$D$45,4,FALSE),1)</f>
        <v>1</v>
      </c>
      <c r="O28" s="110" t="s">
        <v>333</v>
      </c>
      <c r="P28" s="111">
        <f>IF(O28="JA",VLOOKUP(C28,'Vorgabe ProKilowatt Bel'!$A$2:$E$45,5,FALSE),1)</f>
        <v>1</v>
      </c>
      <c r="Q28" s="200">
        <f t="shared" si="1"/>
        <v>0</v>
      </c>
      <c r="R28" s="107"/>
      <c r="S28" s="200"/>
      <c r="T28" s="105"/>
      <c r="U28" s="200"/>
      <c r="V28" s="109">
        <f t="shared" si="2"/>
        <v>0</v>
      </c>
      <c r="W28" s="109">
        <f t="shared" si="7"/>
        <v>0</v>
      </c>
      <c r="X28" s="112" t="s">
        <v>333</v>
      </c>
      <c r="Y28" s="113">
        <f>IF(X28="Ja",VLOOKUP(C28,'Vorgabe ProKilowatt Bel'!$A$2:$D$45,4,FALSE),1)</f>
        <v>1</v>
      </c>
      <c r="Z28" s="112" t="s">
        <v>333</v>
      </c>
      <c r="AA28" s="114">
        <f>IF(Z28="Ja",VLOOKUP(C28,'Vorgabe ProKilowatt Bel'!$A$2:$E$45,5,FALSE),1)</f>
        <v>1</v>
      </c>
      <c r="AB28" s="115">
        <f t="shared" si="3"/>
        <v>0</v>
      </c>
      <c r="AC28" s="115">
        <f t="shared" si="11"/>
        <v>0</v>
      </c>
      <c r="AD28" s="115">
        <f t="shared" si="10"/>
        <v>0</v>
      </c>
      <c r="AE28" s="116">
        <f>VLOOKUP(C28,'Vorgabe ProKilowatt Bel'!$A$2:$C$45,3,FALSE)</f>
        <v>0</v>
      </c>
      <c r="AF28" s="88"/>
      <c r="AG28" s="117">
        <f t="shared" si="8"/>
        <v>0</v>
      </c>
      <c r="AH28" s="117">
        <f t="shared" si="9"/>
        <v>0</v>
      </c>
    </row>
    <row r="29" spans="1:34" ht="20.100000000000001" customHeight="1">
      <c r="A29" s="88"/>
      <c r="B29" s="104"/>
      <c r="C29" s="105" t="s">
        <v>265</v>
      </c>
      <c r="D29" s="200"/>
      <c r="E29" s="106">
        <f>VLOOKUP(C29,'Vorgabe ProKilowatt Bel'!$A$2:$B$45,2,FALSE)</f>
        <v>0</v>
      </c>
      <c r="F29" s="200">
        <f t="shared" si="0"/>
        <v>0</v>
      </c>
      <c r="G29" s="107"/>
      <c r="H29" s="200"/>
      <c r="I29" s="105"/>
      <c r="J29" s="200"/>
      <c r="K29" s="108">
        <f t="shared" si="5"/>
        <v>0</v>
      </c>
      <c r="L29" s="109">
        <f t="shared" si="6"/>
        <v>0</v>
      </c>
      <c r="M29" s="110" t="s">
        <v>333</v>
      </c>
      <c r="N29" s="111">
        <f>IF(M29="JA",VLOOKUP(C29,'Vorgabe ProKilowatt Bel'!$A$2:$D$45,4,FALSE),1)</f>
        <v>1</v>
      </c>
      <c r="O29" s="110" t="s">
        <v>333</v>
      </c>
      <c r="P29" s="111">
        <f>IF(O29="JA",VLOOKUP(C29,'Vorgabe ProKilowatt Bel'!$A$2:$E$45,5,FALSE),1)</f>
        <v>1</v>
      </c>
      <c r="Q29" s="200">
        <f t="shared" si="1"/>
        <v>0</v>
      </c>
      <c r="R29" s="107"/>
      <c r="S29" s="200"/>
      <c r="T29" s="105"/>
      <c r="U29" s="200"/>
      <c r="V29" s="109">
        <f t="shared" si="2"/>
        <v>0</v>
      </c>
      <c r="W29" s="109">
        <f t="shared" si="7"/>
        <v>0</v>
      </c>
      <c r="X29" s="112" t="s">
        <v>333</v>
      </c>
      <c r="Y29" s="113">
        <f>IF(X29="Ja",VLOOKUP(C29,'Vorgabe ProKilowatt Bel'!$A$2:$D$45,4,FALSE),1)</f>
        <v>1</v>
      </c>
      <c r="Z29" s="112" t="s">
        <v>333</v>
      </c>
      <c r="AA29" s="114">
        <f>IF(Z29="Ja",VLOOKUP(C29,'Vorgabe ProKilowatt Bel'!$A$2:$E$45,5,FALSE),1)</f>
        <v>1</v>
      </c>
      <c r="AB29" s="115">
        <f t="shared" si="3"/>
        <v>0</v>
      </c>
      <c r="AC29" s="115">
        <f t="shared" si="11"/>
        <v>0</v>
      </c>
      <c r="AD29" s="115">
        <f t="shared" si="10"/>
        <v>0</v>
      </c>
      <c r="AE29" s="116">
        <f>VLOOKUP(C29,'Vorgabe ProKilowatt Bel'!$A$2:$C$45,3,FALSE)</f>
        <v>0</v>
      </c>
      <c r="AF29" s="88"/>
      <c r="AG29" s="117">
        <f t="shared" si="8"/>
        <v>0</v>
      </c>
      <c r="AH29" s="117">
        <f t="shared" si="9"/>
        <v>0</v>
      </c>
    </row>
    <row r="30" spans="1:34" ht="20.100000000000001" customHeight="1">
      <c r="A30" s="88"/>
      <c r="B30" s="104"/>
      <c r="C30" s="105" t="s">
        <v>265</v>
      </c>
      <c r="D30" s="200"/>
      <c r="E30" s="106">
        <f>VLOOKUP(C30,'Vorgabe ProKilowatt Bel'!$A$2:$B$45,2,FALSE)</f>
        <v>0</v>
      </c>
      <c r="F30" s="200">
        <f t="shared" si="0"/>
        <v>0</v>
      </c>
      <c r="G30" s="107"/>
      <c r="H30" s="200"/>
      <c r="I30" s="105"/>
      <c r="J30" s="200"/>
      <c r="K30" s="108">
        <f t="shared" si="5"/>
        <v>0</v>
      </c>
      <c r="L30" s="109">
        <f t="shared" si="6"/>
        <v>0</v>
      </c>
      <c r="M30" s="110" t="s">
        <v>333</v>
      </c>
      <c r="N30" s="111">
        <f>IF(M30="JA",VLOOKUP(C30,'Vorgabe ProKilowatt Bel'!$A$2:$D$45,4,FALSE),1)</f>
        <v>1</v>
      </c>
      <c r="O30" s="110" t="s">
        <v>333</v>
      </c>
      <c r="P30" s="111">
        <f>IF(O30="JA",VLOOKUP(C30,'Vorgabe ProKilowatt Bel'!$A$2:$E$45,5,FALSE),1)</f>
        <v>1</v>
      </c>
      <c r="Q30" s="200">
        <f t="shared" si="1"/>
        <v>0</v>
      </c>
      <c r="R30" s="107"/>
      <c r="S30" s="200"/>
      <c r="T30" s="105"/>
      <c r="U30" s="200"/>
      <c r="V30" s="109">
        <f t="shared" si="2"/>
        <v>0</v>
      </c>
      <c r="W30" s="109">
        <f t="shared" si="7"/>
        <v>0</v>
      </c>
      <c r="X30" s="112" t="s">
        <v>333</v>
      </c>
      <c r="Y30" s="113">
        <f>IF(X30="Ja",VLOOKUP(C30,'Vorgabe ProKilowatt Bel'!$A$2:$D$45,4,FALSE),1)</f>
        <v>1</v>
      </c>
      <c r="Z30" s="112" t="s">
        <v>333</v>
      </c>
      <c r="AA30" s="114">
        <f>IF(Z30="Ja",VLOOKUP(C30,'Vorgabe ProKilowatt Bel'!$A$2:$E$45,5,FALSE),1)</f>
        <v>1</v>
      </c>
      <c r="AB30" s="115">
        <f t="shared" si="3"/>
        <v>0</v>
      </c>
      <c r="AC30" s="115">
        <f t="shared" si="11"/>
        <v>0</v>
      </c>
      <c r="AD30" s="115">
        <f t="shared" si="10"/>
        <v>0</v>
      </c>
      <c r="AE30" s="116">
        <f>VLOOKUP(C30,'Vorgabe ProKilowatt Bel'!$A$2:$C$45,3,FALSE)</f>
        <v>0</v>
      </c>
      <c r="AF30" s="88"/>
      <c r="AG30" s="117">
        <f t="shared" si="8"/>
        <v>0</v>
      </c>
      <c r="AH30" s="117">
        <f t="shared" si="9"/>
        <v>0</v>
      </c>
    </row>
    <row r="31" spans="1:34" ht="20.100000000000001" customHeight="1" thickBot="1">
      <c r="A31" s="88"/>
      <c r="B31" s="118"/>
      <c r="C31" s="105" t="s">
        <v>265</v>
      </c>
      <c r="D31" s="120"/>
      <c r="E31" s="106">
        <f>VLOOKUP(C31,'Vorgabe ProKilowatt Bel'!$A$2:$B$45,2,FALSE)</f>
        <v>0</v>
      </c>
      <c r="F31" s="120">
        <f t="shared" si="0"/>
        <v>0</v>
      </c>
      <c r="G31" s="121"/>
      <c r="H31" s="120"/>
      <c r="I31" s="119"/>
      <c r="J31" s="120"/>
      <c r="K31" s="122">
        <f t="shared" si="5"/>
        <v>0</v>
      </c>
      <c r="L31" s="123">
        <f t="shared" si="6"/>
        <v>0</v>
      </c>
      <c r="M31" s="124" t="s">
        <v>333</v>
      </c>
      <c r="N31" s="111">
        <f>IF(M31="JA",VLOOKUP(C31,'Vorgabe ProKilowatt Bel'!$A$2:$D$45,4,FALSE),1)</f>
        <v>1</v>
      </c>
      <c r="O31" s="125" t="s">
        <v>333</v>
      </c>
      <c r="P31" s="111">
        <f>IF(O31="JA",VLOOKUP(C31,'Vorgabe ProKilowatt Bel'!$A$2:$E$45,5,FALSE),1)</f>
        <v>1</v>
      </c>
      <c r="Q31" s="126">
        <f t="shared" si="1"/>
        <v>0</v>
      </c>
      <c r="R31" s="121"/>
      <c r="S31" s="120"/>
      <c r="T31" s="119"/>
      <c r="U31" s="120"/>
      <c r="V31" s="123">
        <f t="shared" si="2"/>
        <v>0</v>
      </c>
      <c r="W31" s="123">
        <f t="shared" si="7"/>
        <v>0</v>
      </c>
      <c r="X31" s="127" t="s">
        <v>333</v>
      </c>
      <c r="Y31" s="113">
        <f>IF(X31="Ja",VLOOKUP(C31,'Vorgabe ProKilowatt Bel'!$A$2:$D$45,4,FALSE),1)</f>
        <v>1</v>
      </c>
      <c r="Z31" s="127" t="s">
        <v>333</v>
      </c>
      <c r="AA31" s="114">
        <f>IF(Z31="Ja",VLOOKUP(C31,'Vorgabe ProKilowatt Bel'!$A$2:$E$45,5,FALSE),1)</f>
        <v>1</v>
      </c>
      <c r="AB31" s="128">
        <f t="shared" si="3"/>
        <v>0</v>
      </c>
      <c r="AC31" s="115">
        <f t="shared" si="11"/>
        <v>0</v>
      </c>
      <c r="AD31" s="128">
        <f t="shared" si="10"/>
        <v>0</v>
      </c>
      <c r="AE31" s="116">
        <f>VLOOKUP(C31,'Vorgabe ProKilowatt Bel'!$A$2:$C$45,3,FALSE)</f>
        <v>0</v>
      </c>
      <c r="AF31" s="88"/>
      <c r="AG31" s="117">
        <f t="shared" si="8"/>
        <v>0</v>
      </c>
      <c r="AH31" s="117">
        <f t="shared" si="9"/>
        <v>0</v>
      </c>
    </row>
    <row r="32" spans="1:34" ht="15" hidden="1">
      <c r="A32" s="88"/>
      <c r="B32" s="129"/>
      <c r="C32" s="130"/>
      <c r="D32" s="131"/>
      <c r="E32" s="132"/>
      <c r="F32" s="133"/>
      <c r="G32" s="131"/>
      <c r="H32" s="131"/>
      <c r="I32" s="131"/>
      <c r="J32" s="131"/>
      <c r="K32" s="134"/>
      <c r="L32" s="135"/>
      <c r="M32" s="131"/>
      <c r="N32" s="136"/>
      <c r="O32" s="131"/>
      <c r="P32" s="136"/>
      <c r="Q32" s="131"/>
      <c r="R32" s="131"/>
      <c r="S32" s="131"/>
      <c r="T32" s="131"/>
      <c r="U32" s="131"/>
      <c r="V32" s="131"/>
      <c r="W32" s="135"/>
      <c r="X32" s="131"/>
      <c r="Y32" s="131"/>
      <c r="Z32" s="131"/>
      <c r="AA32" s="131"/>
      <c r="AB32" s="131"/>
      <c r="AC32" s="115">
        <f t="shared" si="11"/>
        <v>0</v>
      </c>
      <c r="AD32" s="131"/>
      <c r="AE32" s="131"/>
      <c r="AF32" s="88"/>
    </row>
    <row r="33" spans="1:35" customFormat="1" ht="15" hidden="1">
      <c r="A33" s="88"/>
      <c r="B33" s="352" t="s">
        <v>334</v>
      </c>
      <c r="C33" s="353"/>
      <c r="D33" s="353"/>
      <c r="E33" s="353"/>
      <c r="F33" s="353"/>
      <c r="G33" s="353"/>
      <c r="H33" s="354"/>
      <c r="I33" s="131"/>
      <c r="J33" s="131"/>
      <c r="K33" s="134"/>
      <c r="L33" s="135"/>
      <c r="M33" s="131"/>
      <c r="N33" s="136"/>
      <c r="O33" s="131"/>
      <c r="P33" s="136"/>
      <c r="Q33" s="131"/>
      <c r="R33" s="131"/>
      <c r="S33" s="131"/>
      <c r="T33" s="131"/>
      <c r="U33" s="131"/>
      <c r="V33" s="131"/>
      <c r="W33" s="135"/>
      <c r="X33" s="131"/>
      <c r="Y33" s="131"/>
      <c r="Z33" s="131"/>
      <c r="AA33" s="131"/>
      <c r="AB33" s="131"/>
      <c r="AC33" s="115">
        <f t="shared" si="11"/>
        <v>0</v>
      </c>
      <c r="AD33" s="131"/>
      <c r="AE33" s="131"/>
      <c r="AF33" s="88"/>
    </row>
    <row r="34" spans="1:35" customFormat="1" ht="15" hidden="1">
      <c r="A34" s="88"/>
      <c r="B34" s="355" t="s">
        <v>335</v>
      </c>
      <c r="C34" s="137" t="s">
        <v>336</v>
      </c>
      <c r="D34" s="355" t="s">
        <v>337</v>
      </c>
      <c r="E34" s="358" t="s">
        <v>338</v>
      </c>
      <c r="F34" s="358" t="s">
        <v>339</v>
      </c>
      <c r="G34" s="355" t="s">
        <v>329</v>
      </c>
      <c r="H34" s="355" t="s">
        <v>340</v>
      </c>
      <c r="I34" s="131"/>
      <c r="J34" s="131"/>
      <c r="K34" s="134"/>
      <c r="L34" s="135"/>
      <c r="M34" s="131"/>
      <c r="N34" s="136"/>
      <c r="O34" s="131"/>
      <c r="P34" s="136"/>
      <c r="Q34" s="131"/>
      <c r="R34" s="131"/>
      <c r="S34" s="131"/>
      <c r="T34" s="131"/>
      <c r="U34" s="131"/>
      <c r="V34" s="131"/>
      <c r="W34" s="135"/>
      <c r="X34" s="131"/>
      <c r="Y34" s="131"/>
      <c r="Z34" s="131"/>
      <c r="AA34" s="131"/>
      <c r="AB34" s="131"/>
      <c r="AC34" s="115">
        <f t="shared" si="11"/>
        <v>0</v>
      </c>
      <c r="AD34" s="131"/>
      <c r="AE34" s="131"/>
      <c r="AF34" s="88"/>
    </row>
    <row r="35" spans="1:35" customFormat="1" ht="15" hidden="1">
      <c r="A35" s="88"/>
      <c r="B35" s="356"/>
      <c r="C35" s="138"/>
      <c r="D35" s="356"/>
      <c r="E35" s="359"/>
      <c r="F35" s="359"/>
      <c r="G35" s="356"/>
      <c r="H35" s="356"/>
      <c r="I35" s="131"/>
      <c r="J35" s="131"/>
      <c r="K35" s="134"/>
      <c r="L35" s="135"/>
      <c r="M35" s="131"/>
      <c r="N35" s="136"/>
      <c r="O35" s="131"/>
      <c r="P35" s="136"/>
      <c r="Q35" s="131"/>
      <c r="R35" s="131"/>
      <c r="S35" s="131"/>
      <c r="T35" s="131"/>
      <c r="U35" s="131"/>
      <c r="V35" s="131"/>
      <c r="W35" s="135"/>
      <c r="X35" s="131"/>
      <c r="Y35" s="131"/>
      <c r="Z35" s="131"/>
      <c r="AA35" s="131"/>
      <c r="AB35" s="131"/>
      <c r="AC35" s="115">
        <f t="shared" si="11"/>
        <v>0</v>
      </c>
      <c r="AD35" s="131"/>
      <c r="AE35" s="131"/>
      <c r="AF35" s="88"/>
    </row>
    <row r="36" spans="1:35" customFormat="1" ht="15" hidden="1">
      <c r="A36" s="88"/>
      <c r="B36" s="357"/>
      <c r="C36" s="139"/>
      <c r="D36" s="357"/>
      <c r="E36" s="360"/>
      <c r="F36" s="360"/>
      <c r="G36" s="357"/>
      <c r="H36" s="357"/>
      <c r="I36" s="131"/>
      <c r="J36" s="131"/>
      <c r="K36" s="134"/>
      <c r="L36" s="135"/>
      <c r="M36" s="131"/>
      <c r="N36" s="136"/>
      <c r="O36" s="131"/>
      <c r="P36" s="136"/>
      <c r="Q36" s="131"/>
      <c r="R36" s="131"/>
      <c r="S36" s="131"/>
      <c r="T36" s="131"/>
      <c r="U36" s="131"/>
      <c r="V36" s="131"/>
      <c r="W36" s="135"/>
      <c r="X36" s="131"/>
      <c r="Y36" s="131"/>
      <c r="Z36" s="131"/>
      <c r="AA36" s="131"/>
      <c r="AB36" s="131"/>
      <c r="AC36" s="115">
        <f t="shared" si="11"/>
        <v>0</v>
      </c>
      <c r="AD36" s="131"/>
      <c r="AE36" s="131"/>
      <c r="AF36" s="88"/>
    </row>
    <row r="37" spans="1:35" customFormat="1" ht="15" hidden="1">
      <c r="A37" s="88"/>
      <c r="B37" s="116">
        <v>3250</v>
      </c>
      <c r="C37" s="140">
        <v>0.74153846153846104</v>
      </c>
      <c r="D37" s="140">
        <v>8.3461538461538503</v>
      </c>
      <c r="E37" s="141">
        <f>SUM(L4:L31)</f>
        <v>0</v>
      </c>
      <c r="F37" s="141">
        <f>E37-G37</f>
        <v>0</v>
      </c>
      <c r="G37" s="141">
        <f>SUM(AC4:AC31)</f>
        <v>0</v>
      </c>
      <c r="H37" s="141">
        <f>G37*0.75</f>
        <v>0</v>
      </c>
      <c r="I37" s="131"/>
      <c r="J37" s="131"/>
      <c r="K37" s="134"/>
      <c r="L37" s="135"/>
      <c r="M37" s="131"/>
      <c r="N37" s="136"/>
      <c r="O37" s="131"/>
      <c r="P37" s="136"/>
      <c r="Q37" s="131"/>
      <c r="R37" s="131"/>
      <c r="S37" s="131"/>
      <c r="T37" s="131"/>
      <c r="U37" s="131"/>
      <c r="V37" s="131"/>
      <c r="W37" s="135"/>
      <c r="X37" s="131"/>
      <c r="Y37" s="131"/>
      <c r="Z37" s="131"/>
      <c r="AA37" s="131"/>
      <c r="AB37" s="131"/>
      <c r="AC37" s="115">
        <f t="shared" si="11"/>
        <v>0</v>
      </c>
      <c r="AD37" s="131"/>
      <c r="AE37" s="131"/>
      <c r="AF37" s="88"/>
    </row>
    <row r="38" spans="1:35" customFormat="1" ht="20.25" hidden="1" customHeight="1">
      <c r="A38" s="88"/>
      <c r="B38" s="131"/>
      <c r="C38" s="131"/>
      <c r="D38" s="131"/>
      <c r="E38" s="142"/>
      <c r="F38" s="143"/>
      <c r="G38" s="131"/>
      <c r="H38" s="131"/>
      <c r="I38" s="131"/>
      <c r="J38" s="131"/>
      <c r="K38" s="134"/>
      <c r="L38" s="135"/>
      <c r="M38" s="131"/>
      <c r="N38" s="136"/>
      <c r="O38" s="131"/>
      <c r="P38" s="136"/>
      <c r="Q38" s="131"/>
      <c r="R38" s="131"/>
      <c r="S38" s="131"/>
      <c r="T38" s="131"/>
      <c r="U38" s="131"/>
      <c r="V38" s="131"/>
      <c r="W38" s="135"/>
      <c r="X38" s="131"/>
      <c r="Y38" s="131"/>
      <c r="Z38" s="131"/>
      <c r="AA38" s="131"/>
      <c r="AB38" s="131"/>
      <c r="AC38" s="131"/>
      <c r="AD38" s="131"/>
      <c r="AE38" s="131"/>
      <c r="AF38" s="88"/>
    </row>
    <row r="39" spans="1:35" customFormat="1" ht="21" hidden="1" customHeight="1">
      <c r="A39" s="88"/>
      <c r="B39" s="129"/>
      <c r="C39" s="130"/>
      <c r="D39" s="131"/>
      <c r="E39" s="132"/>
      <c r="F39" s="133"/>
      <c r="G39" s="131"/>
      <c r="H39" s="131"/>
      <c r="I39" s="131"/>
      <c r="J39" s="131"/>
      <c r="K39" s="134"/>
      <c r="L39" s="135"/>
      <c r="M39" s="131"/>
      <c r="N39" s="136"/>
      <c r="O39" s="131"/>
      <c r="P39" s="136"/>
      <c r="Q39" s="131"/>
      <c r="R39" s="131"/>
      <c r="S39" s="131"/>
      <c r="T39" s="131"/>
      <c r="U39" s="131"/>
      <c r="V39" s="131"/>
      <c r="W39" s="135"/>
      <c r="X39" s="131"/>
      <c r="Y39" s="131"/>
      <c r="Z39" s="131"/>
      <c r="AA39" s="131"/>
      <c r="AB39" s="131"/>
      <c r="AC39" s="131"/>
      <c r="AD39" s="131"/>
      <c r="AE39" s="131"/>
      <c r="AF39" s="88"/>
    </row>
    <row r="40" spans="1:35" customFormat="1" ht="40.5" hidden="1" customHeight="1">
      <c r="A40" s="88"/>
      <c r="B40" s="204" t="s">
        <v>103</v>
      </c>
      <c r="C40" s="343"/>
      <c r="D40" s="344"/>
      <c r="E40" s="344"/>
      <c r="F40" s="344"/>
      <c r="G40" s="345"/>
      <c r="H40" s="131"/>
      <c r="I40" s="131"/>
      <c r="J40" s="131"/>
      <c r="K40" s="134"/>
      <c r="L40" s="135"/>
      <c r="M40" s="131"/>
      <c r="N40" s="136"/>
      <c r="O40" s="131"/>
      <c r="P40" s="136"/>
      <c r="Q40" s="131"/>
      <c r="R40" s="131"/>
      <c r="S40" s="131"/>
      <c r="T40" s="131"/>
      <c r="U40" s="131"/>
      <c r="V40" s="131"/>
      <c r="W40" s="135"/>
      <c r="X40" s="131"/>
      <c r="Y40" s="131"/>
      <c r="Z40" s="131"/>
      <c r="AA40" s="131"/>
      <c r="AB40" s="131"/>
      <c r="AC40" s="131"/>
      <c r="AD40" s="131"/>
      <c r="AE40" s="131"/>
      <c r="AF40" s="88"/>
      <c r="AG40">
        <f>SUM(AG4:AG20)</f>
        <v>0</v>
      </c>
      <c r="AH40">
        <f>SUM(AH4:AH20)</f>
        <v>0</v>
      </c>
    </row>
    <row r="41" spans="1:35" customFormat="1" ht="15">
      <c r="A41" s="88"/>
      <c r="B41" s="131"/>
      <c r="C41" s="131"/>
      <c r="D41" s="131"/>
      <c r="E41" s="131"/>
      <c r="F41" s="131"/>
      <c r="G41" s="131"/>
      <c r="H41" s="131"/>
      <c r="I41" s="131"/>
      <c r="J41" s="131"/>
      <c r="K41" s="134"/>
      <c r="L41" s="135"/>
      <c r="M41" s="131"/>
      <c r="N41" s="136"/>
      <c r="O41" s="131"/>
      <c r="P41" s="136"/>
      <c r="Q41" s="131"/>
      <c r="R41" s="131"/>
      <c r="S41" s="131"/>
      <c r="T41" s="131"/>
      <c r="U41" s="131"/>
      <c r="V41" s="131"/>
      <c r="W41" s="135"/>
      <c r="X41" s="131"/>
      <c r="Y41" s="131"/>
      <c r="Z41" s="131"/>
      <c r="AA41" s="131"/>
      <c r="AB41" s="131"/>
      <c r="AC41" s="131"/>
      <c r="AD41" s="131"/>
      <c r="AE41" s="131"/>
      <c r="AF41" s="88"/>
    </row>
    <row r="42" spans="1:35" customFormat="1" ht="44.25" customHeight="1">
      <c r="A42" s="88"/>
      <c r="B42" s="346" t="s">
        <v>374</v>
      </c>
      <c r="C42" s="206" t="s">
        <v>375</v>
      </c>
      <c r="D42" s="131"/>
      <c r="E42" s="131"/>
      <c r="F42" s="131"/>
      <c r="G42" s="131"/>
      <c r="H42" s="131"/>
      <c r="I42" s="131"/>
      <c r="J42" s="131"/>
      <c r="K42" s="134"/>
      <c r="L42" s="135"/>
      <c r="M42" s="131"/>
      <c r="N42" s="136"/>
      <c r="O42" s="131"/>
      <c r="P42" s="136"/>
      <c r="Q42" s="131"/>
      <c r="R42" s="131"/>
      <c r="S42" s="131"/>
      <c r="T42" s="131"/>
      <c r="U42" s="131"/>
      <c r="V42" s="131"/>
      <c r="W42" s="135"/>
      <c r="X42" s="131"/>
      <c r="Y42" s="131"/>
      <c r="Z42" s="131"/>
      <c r="AA42" s="131"/>
      <c r="AB42" s="131"/>
      <c r="AC42" s="131"/>
      <c r="AD42" s="131"/>
      <c r="AE42" s="131"/>
      <c r="AF42" s="88"/>
    </row>
    <row r="43" spans="1:35" customFormat="1" ht="23.25" customHeight="1">
      <c r="A43" s="88"/>
      <c r="B43" s="347"/>
      <c r="C43" s="207" t="str">
        <f>IF(AG49&lt;AH49,"JA","NEIN")</f>
        <v>NEIN</v>
      </c>
      <c r="D43" s="208" t="str">
        <f>IF(AH49&lt;AG49,"Es werden nur Räume gefördert, deren spezifischer Elektrizitätsbedarf tiefer als der Höchstwert von ProKilowatt ist","")</f>
        <v/>
      </c>
      <c r="E43" s="131"/>
      <c r="F43" s="131"/>
      <c r="G43" s="131"/>
      <c r="H43" s="131"/>
      <c r="I43" s="131"/>
      <c r="J43" s="131"/>
      <c r="K43" s="134"/>
      <c r="L43" s="135"/>
      <c r="M43" s="131"/>
      <c r="N43" s="136"/>
      <c r="O43" s="131"/>
      <c r="P43" s="136"/>
      <c r="Q43" s="131"/>
      <c r="R43" s="131"/>
      <c r="S43" s="131"/>
      <c r="T43" s="131"/>
      <c r="U43" s="131"/>
      <c r="V43" s="131"/>
      <c r="W43" s="135"/>
      <c r="X43" s="131"/>
      <c r="Y43" s="131"/>
      <c r="Z43" s="131"/>
      <c r="AA43" s="131"/>
      <c r="AB43" s="131"/>
      <c r="AC43" s="131"/>
      <c r="AD43" s="131"/>
      <c r="AE43" s="131"/>
      <c r="AF43" s="88"/>
    </row>
    <row r="44" spans="1:35" customFormat="1" ht="14.25" hidden="1" customHeight="1">
      <c r="A44" s="88"/>
      <c r="B44" s="129"/>
      <c r="C44" s="130"/>
      <c r="D44" s="131"/>
      <c r="E44" s="132"/>
      <c r="F44" s="133"/>
      <c r="G44" s="131"/>
      <c r="H44" s="131"/>
      <c r="I44" s="131"/>
      <c r="J44" s="131"/>
      <c r="K44" s="134"/>
      <c r="L44" s="135"/>
      <c r="M44" s="131"/>
      <c r="N44" s="136"/>
      <c r="O44" s="131"/>
      <c r="P44" s="136"/>
      <c r="Q44" s="131"/>
      <c r="R44" s="131"/>
      <c r="S44" s="131"/>
      <c r="T44" s="131"/>
      <c r="U44" s="131"/>
      <c r="V44" s="131"/>
      <c r="W44" s="135"/>
      <c r="X44" s="131"/>
      <c r="Y44" s="131"/>
      <c r="Z44" s="131"/>
      <c r="AA44" s="131"/>
      <c r="AB44" s="131"/>
      <c r="AC44" s="131"/>
      <c r="AD44" s="131"/>
      <c r="AE44" s="131"/>
      <c r="AF44" s="88"/>
    </row>
    <row r="45" spans="1:35" customFormat="1" ht="7.5" hidden="1" customHeight="1">
      <c r="A45" s="88"/>
      <c r="B45" s="183" t="s">
        <v>357</v>
      </c>
      <c r="C45" s="348" t="s">
        <v>376</v>
      </c>
      <c r="D45" s="349"/>
      <c r="E45" s="349"/>
      <c r="F45" s="209">
        <v>15</v>
      </c>
      <c r="G45" s="15" t="s">
        <v>1</v>
      </c>
      <c r="H45" s="131"/>
      <c r="I45" s="131"/>
      <c r="J45" s="131"/>
      <c r="K45" s="134"/>
      <c r="L45" s="135"/>
      <c r="M45" s="131"/>
      <c r="N45" s="136"/>
      <c r="O45" s="131"/>
      <c r="P45" s="136"/>
      <c r="Q45" s="131"/>
      <c r="R45" s="131"/>
      <c r="S45" s="131"/>
      <c r="T45" s="131"/>
      <c r="U45" s="131"/>
      <c r="V45" s="131"/>
      <c r="W45" s="135"/>
      <c r="X45" s="131"/>
      <c r="Y45" s="131"/>
      <c r="Z45" s="131"/>
      <c r="AA45" s="131"/>
      <c r="AB45" s="131"/>
      <c r="AC45" s="131"/>
      <c r="AD45" s="131"/>
      <c r="AE45" s="131"/>
      <c r="AF45" s="88"/>
    </row>
    <row r="46" spans="1:35" customFormat="1" ht="18.75" hidden="1" customHeight="1">
      <c r="A46" s="88"/>
      <c r="B46" s="204" t="s">
        <v>3</v>
      </c>
      <c r="C46" s="339" t="s">
        <v>377</v>
      </c>
      <c r="D46" s="337"/>
      <c r="E46" s="338"/>
      <c r="F46" s="210"/>
      <c r="G46" s="15" t="s">
        <v>2</v>
      </c>
      <c r="H46" s="211" t="str">
        <f>IF(F46&gt;299999,"Die Investitionssumme ist zu hoch, bitte kontaktieren Sie uns","")</f>
        <v/>
      </c>
      <c r="I46" s="131"/>
      <c r="J46" s="131"/>
      <c r="K46" s="134"/>
      <c r="L46" s="135"/>
      <c r="M46" s="131"/>
      <c r="N46" s="136"/>
      <c r="O46" s="131"/>
      <c r="P46" s="136"/>
      <c r="Q46" s="131"/>
      <c r="R46" s="131"/>
      <c r="S46" s="131"/>
      <c r="T46" s="131"/>
      <c r="U46" s="131"/>
      <c r="V46" s="131"/>
      <c r="W46" s="135"/>
      <c r="X46" s="131"/>
      <c r="Y46" s="131"/>
      <c r="Z46" s="131"/>
      <c r="AA46" s="131"/>
      <c r="AB46" s="131"/>
      <c r="AC46" s="131"/>
      <c r="AD46" s="131"/>
      <c r="AE46" s="131"/>
      <c r="AF46" s="88"/>
      <c r="AG46" t="s">
        <v>378</v>
      </c>
      <c r="AI46" s="23" t="s">
        <v>312</v>
      </c>
    </row>
    <row r="47" spans="1:35" customFormat="1" ht="14.25" customHeight="1">
      <c r="A47" s="88"/>
      <c r="B47" s="131"/>
      <c r="C47" s="131"/>
      <c r="D47" s="131"/>
      <c r="E47" s="143"/>
      <c r="F47" s="143"/>
      <c r="G47" s="131"/>
      <c r="H47" s="131"/>
      <c r="I47" s="131"/>
      <c r="J47" s="131"/>
      <c r="K47" s="134"/>
      <c r="L47" s="135"/>
      <c r="M47" s="131"/>
      <c r="N47" s="136"/>
      <c r="O47" s="131"/>
      <c r="P47" s="136"/>
      <c r="Q47" s="131"/>
      <c r="R47" s="131"/>
      <c r="S47" s="131"/>
      <c r="T47" s="131"/>
      <c r="U47" s="131"/>
      <c r="V47" s="131"/>
      <c r="W47" s="135"/>
      <c r="X47" s="131"/>
      <c r="Y47" s="131"/>
      <c r="Z47" s="131"/>
      <c r="AA47" s="131"/>
      <c r="AB47" s="131"/>
      <c r="AC47" s="131"/>
      <c r="AD47" s="131"/>
      <c r="AE47" s="131"/>
      <c r="AF47" s="88"/>
      <c r="AG47">
        <f>SUM(D4:D20)</f>
        <v>0</v>
      </c>
      <c r="AI47" s="23" t="s">
        <v>312</v>
      </c>
    </row>
    <row r="48" spans="1:35" customFormat="1" ht="20.100000000000001" customHeight="1">
      <c r="A48" s="88"/>
      <c r="B48" s="350" t="s">
        <v>388</v>
      </c>
      <c r="C48" s="350"/>
      <c r="D48" s="225">
        <f>E37</f>
        <v>0</v>
      </c>
      <c r="E48" s="143"/>
      <c r="F48" s="143"/>
      <c r="G48" s="131"/>
      <c r="H48" s="131"/>
      <c r="I48" s="131"/>
      <c r="J48" s="131"/>
      <c r="K48" s="134"/>
      <c r="L48" s="135"/>
      <c r="M48" s="131"/>
      <c r="N48" s="136"/>
      <c r="O48" s="131"/>
      <c r="P48" s="136"/>
      <c r="Q48" s="131"/>
      <c r="R48" s="131"/>
      <c r="S48" s="131"/>
      <c r="T48" s="131"/>
      <c r="U48" s="131"/>
      <c r="V48" s="131"/>
      <c r="W48" s="135"/>
      <c r="X48" s="131"/>
      <c r="Y48" s="131"/>
      <c r="Z48" s="131"/>
      <c r="AA48" s="131"/>
      <c r="AB48" s="131"/>
      <c r="AC48" s="131"/>
      <c r="AD48" s="131"/>
      <c r="AE48" s="131"/>
      <c r="AF48" s="88"/>
      <c r="AG48" t="s">
        <v>379</v>
      </c>
      <c r="AH48" t="s">
        <v>380</v>
      </c>
      <c r="AI48" s="23" t="s">
        <v>312</v>
      </c>
    </row>
    <row r="49" spans="1:34" customFormat="1" ht="19.5" customHeight="1">
      <c r="A49" s="88"/>
      <c r="B49" s="350" t="s">
        <v>389</v>
      </c>
      <c r="C49" s="350"/>
      <c r="D49" s="225">
        <f>F37</f>
        <v>0</v>
      </c>
      <c r="E49" s="143"/>
      <c r="F49" s="143"/>
      <c r="G49" s="131"/>
      <c r="H49" s="131"/>
      <c r="I49" s="131"/>
      <c r="J49" s="131"/>
      <c r="K49" s="134"/>
      <c r="L49" s="135"/>
      <c r="M49" s="131"/>
      <c r="N49" s="136"/>
      <c r="O49" s="131"/>
      <c r="P49" s="136"/>
      <c r="Q49" s="131"/>
      <c r="R49" s="131"/>
      <c r="S49" s="131"/>
      <c r="T49" s="131"/>
      <c r="U49" s="131"/>
      <c r="V49" s="131"/>
      <c r="W49" s="135"/>
      <c r="X49" s="131"/>
      <c r="Y49" s="131"/>
      <c r="Z49" s="131"/>
      <c r="AA49" s="131"/>
      <c r="AB49" s="131"/>
      <c r="AC49" s="131"/>
      <c r="AD49" s="131"/>
      <c r="AE49" s="131"/>
      <c r="AF49" s="88"/>
      <c r="AG49">
        <f>IF(AG40&gt;0,AG40/AG47,0)</f>
        <v>0</v>
      </c>
      <c r="AH49">
        <f>IF(AH40&gt;0,AH40/AG47,0)</f>
        <v>0</v>
      </c>
    </row>
    <row r="50" spans="1:34" customFormat="1" ht="20.100000000000001" hidden="1" customHeight="1">
      <c r="A50" s="88"/>
      <c r="B50" s="131"/>
      <c r="C50" s="339" t="s">
        <v>381</v>
      </c>
      <c r="D50" s="337"/>
      <c r="E50" s="338"/>
      <c r="F50" s="212">
        <f>D48-D49</f>
        <v>0</v>
      </c>
      <c r="G50" s="131"/>
      <c r="H50" s="131"/>
      <c r="I50" s="131"/>
      <c r="J50" s="131"/>
      <c r="K50" s="134"/>
      <c r="L50" s="135"/>
      <c r="M50" s="131"/>
      <c r="N50" s="136"/>
      <c r="O50" s="131"/>
      <c r="P50" s="136"/>
      <c r="Q50" s="131"/>
      <c r="R50" s="131"/>
      <c r="S50" s="131"/>
      <c r="T50" s="131"/>
      <c r="U50" s="131"/>
      <c r="V50" s="131"/>
      <c r="W50" s="135"/>
      <c r="X50" s="131"/>
      <c r="Y50" s="131"/>
      <c r="Z50" s="131"/>
      <c r="AA50" s="131"/>
      <c r="AB50" s="131"/>
      <c r="AC50" s="131"/>
      <c r="AD50" s="131"/>
      <c r="AE50" s="131"/>
      <c r="AF50" s="88"/>
    </row>
    <row r="51" spans="1:34" customFormat="1" ht="20.100000000000001" hidden="1" customHeight="1">
      <c r="A51" s="88"/>
      <c r="B51" s="131"/>
      <c r="C51" s="339" t="s">
        <v>382</v>
      </c>
      <c r="D51" s="337"/>
      <c r="E51" s="338"/>
      <c r="F51" s="213">
        <v>0.75</v>
      </c>
      <c r="G51" s="131"/>
      <c r="H51" s="131"/>
      <c r="I51" s="131"/>
      <c r="J51" s="131"/>
      <c r="K51" s="134"/>
      <c r="L51" s="135"/>
      <c r="M51" s="131"/>
      <c r="N51" s="136"/>
      <c r="O51" s="131"/>
      <c r="P51" s="136"/>
      <c r="Q51" s="131"/>
      <c r="R51" s="131"/>
      <c r="S51" s="131"/>
      <c r="T51" s="131"/>
      <c r="U51" s="131"/>
      <c r="V51" s="131"/>
      <c r="W51" s="135"/>
      <c r="X51" s="131"/>
      <c r="Y51" s="131"/>
      <c r="Z51" s="131"/>
      <c r="AA51" s="131"/>
      <c r="AB51" s="131"/>
      <c r="AC51" s="131"/>
      <c r="AD51" s="131"/>
      <c r="AE51" s="131"/>
      <c r="AF51" s="88"/>
    </row>
    <row r="52" spans="1:34" customFormat="1" ht="20.100000000000001" hidden="1" customHeight="1">
      <c r="A52" s="88"/>
      <c r="B52" s="131"/>
      <c r="C52" s="340" t="s">
        <v>383</v>
      </c>
      <c r="D52" s="341"/>
      <c r="E52" s="341"/>
      <c r="F52" s="214">
        <f>F45*F50*F51</f>
        <v>0</v>
      </c>
      <c r="G52" s="131"/>
      <c r="H52" s="131"/>
      <c r="I52" s="131"/>
      <c r="J52" s="131"/>
      <c r="K52" s="134"/>
      <c r="L52" s="135"/>
      <c r="M52" s="131"/>
      <c r="N52" s="136"/>
      <c r="O52" s="131"/>
      <c r="P52" s="136"/>
      <c r="Q52" s="131"/>
      <c r="R52" s="131"/>
      <c r="S52" s="131"/>
      <c r="T52" s="131"/>
      <c r="U52" s="131"/>
      <c r="V52" s="131"/>
      <c r="W52" s="135"/>
      <c r="X52" s="131"/>
      <c r="Y52" s="131"/>
      <c r="Z52" s="131"/>
      <c r="AA52" s="131"/>
      <c r="AB52" s="131"/>
      <c r="AC52" s="131"/>
      <c r="AD52" s="131"/>
      <c r="AE52" s="131"/>
      <c r="AF52" s="88"/>
    </row>
    <row r="53" spans="1:34" customFormat="1" ht="20.100000000000001" hidden="1" customHeight="1">
      <c r="A53" s="88"/>
      <c r="B53" s="131"/>
      <c r="C53" s="340" t="s">
        <v>384</v>
      </c>
      <c r="D53" s="341"/>
      <c r="E53" s="342"/>
      <c r="F53" s="215">
        <v>2.4E-2</v>
      </c>
      <c r="G53" s="131"/>
      <c r="H53" s="131"/>
      <c r="I53" s="131"/>
      <c r="J53" s="131"/>
      <c r="K53" s="134"/>
      <c r="L53" s="135"/>
      <c r="M53" s="131"/>
      <c r="N53" s="136"/>
      <c r="O53" s="131"/>
      <c r="P53" s="136"/>
      <c r="Q53" s="131"/>
      <c r="R53" s="131"/>
      <c r="S53" s="131"/>
      <c r="T53" s="131"/>
      <c r="U53" s="131"/>
      <c r="V53" s="131"/>
      <c r="W53" s="135"/>
      <c r="X53" s="131"/>
      <c r="Y53" s="131"/>
      <c r="Z53" s="131"/>
      <c r="AA53" s="131"/>
      <c r="AB53" s="131"/>
      <c r="AC53" s="131"/>
      <c r="AD53" s="131"/>
      <c r="AE53" s="131"/>
      <c r="AF53" s="88"/>
    </row>
    <row r="54" spans="1:34" customFormat="1" ht="20.100000000000001" hidden="1" customHeight="1">
      <c r="A54" s="88"/>
      <c r="B54" s="131"/>
      <c r="C54" s="339" t="s">
        <v>385</v>
      </c>
      <c r="D54" s="337"/>
      <c r="E54" s="338"/>
      <c r="F54" s="214">
        <f>IF(F52*F53&gt;F57,F57,F52*F53)</f>
        <v>0</v>
      </c>
      <c r="G54" s="131"/>
      <c r="H54" s="131"/>
      <c r="I54" s="131"/>
      <c r="J54" s="131"/>
      <c r="K54" s="134"/>
      <c r="L54" s="135"/>
      <c r="M54" s="131"/>
      <c r="N54" s="136"/>
      <c r="O54" s="131"/>
      <c r="P54" s="136"/>
      <c r="Q54" s="131"/>
      <c r="R54" s="131"/>
      <c r="S54" s="131"/>
      <c r="T54" s="131"/>
      <c r="U54" s="131"/>
      <c r="V54" s="131"/>
      <c r="W54" s="135"/>
      <c r="X54" s="131"/>
      <c r="Y54" s="131"/>
      <c r="Z54" s="131"/>
      <c r="AA54" s="131"/>
      <c r="AB54" s="131"/>
      <c r="AC54" s="131"/>
      <c r="AD54" s="131"/>
      <c r="AE54" s="131"/>
      <c r="AF54" s="88"/>
    </row>
    <row r="55" spans="1:34" customFormat="1" ht="12.75" customHeight="1">
      <c r="A55" s="88"/>
      <c r="B55" s="131"/>
      <c r="C55" s="216"/>
      <c r="D55" s="216"/>
      <c r="E55" s="217"/>
      <c r="F55" s="143"/>
      <c r="G55" s="131"/>
      <c r="H55" s="131"/>
      <c r="I55" s="131"/>
      <c r="J55" s="131"/>
      <c r="K55" s="134"/>
      <c r="L55" s="135"/>
      <c r="M55" s="131"/>
      <c r="N55" s="136"/>
      <c r="O55" s="131"/>
      <c r="P55" s="136"/>
      <c r="Q55" s="131"/>
      <c r="R55" s="131"/>
      <c r="S55" s="131"/>
      <c r="T55" s="131"/>
      <c r="U55" s="131"/>
      <c r="V55" s="131"/>
      <c r="W55" s="135"/>
      <c r="X55" s="131"/>
      <c r="Y55" s="131"/>
      <c r="Z55" s="131"/>
      <c r="AA55" s="131"/>
      <c r="AB55" s="131"/>
      <c r="AC55" s="131"/>
      <c r="AD55" s="131"/>
      <c r="AE55" s="131"/>
      <c r="AF55" s="88"/>
    </row>
    <row r="56" spans="1:34" customFormat="1" ht="20.100000000000001" hidden="1" customHeight="1">
      <c r="A56" s="88"/>
      <c r="B56" s="131"/>
      <c r="C56" s="337" t="s">
        <v>386</v>
      </c>
      <c r="D56" s="337"/>
      <c r="E56" s="338"/>
      <c r="F56" s="218">
        <v>0.3</v>
      </c>
      <c r="G56" s="15"/>
      <c r="H56" s="131"/>
      <c r="I56" s="131"/>
      <c r="J56" s="131"/>
      <c r="K56" s="134"/>
      <c r="L56" s="135"/>
      <c r="M56" s="131"/>
      <c r="N56" s="136"/>
      <c r="O56" s="131"/>
      <c r="P56" s="136"/>
      <c r="Q56" s="131"/>
      <c r="R56" s="131"/>
      <c r="S56" s="131"/>
      <c r="T56" s="131"/>
      <c r="U56" s="131"/>
      <c r="V56" s="131"/>
      <c r="W56" s="135"/>
      <c r="X56" s="131"/>
      <c r="Y56" s="131"/>
      <c r="Z56" s="131"/>
      <c r="AA56" s="131"/>
      <c r="AB56" s="131"/>
      <c r="AC56" s="131"/>
      <c r="AD56" s="131"/>
      <c r="AE56" s="131"/>
      <c r="AF56" s="88"/>
    </row>
    <row r="57" spans="1:34" customFormat="1" ht="20.100000000000001" hidden="1" customHeight="1">
      <c r="A57" s="88"/>
      <c r="B57" s="131"/>
      <c r="C57" s="337" t="s">
        <v>387</v>
      </c>
      <c r="D57" s="337"/>
      <c r="E57" s="338"/>
      <c r="F57" s="219">
        <f>F46*F56</f>
        <v>0</v>
      </c>
      <c r="G57" s="15" t="s">
        <v>2</v>
      </c>
      <c r="H57" s="131"/>
      <c r="I57" s="131"/>
      <c r="J57" s="131"/>
      <c r="K57" s="134"/>
      <c r="L57" s="135"/>
      <c r="M57" s="131"/>
      <c r="N57" s="136"/>
      <c r="O57" s="131"/>
      <c r="P57" s="136"/>
      <c r="Q57" s="131"/>
      <c r="R57" s="131"/>
      <c r="S57" s="131"/>
      <c r="T57" s="131"/>
      <c r="U57" s="131"/>
      <c r="V57" s="131"/>
      <c r="W57" s="135"/>
      <c r="X57" s="131"/>
      <c r="Y57" s="131"/>
      <c r="Z57" s="131"/>
      <c r="AA57" s="131"/>
      <c r="AB57" s="131"/>
      <c r="AC57" s="131"/>
      <c r="AD57" s="131"/>
      <c r="AE57" s="131"/>
      <c r="AF57" s="88"/>
    </row>
  </sheetData>
  <mergeCells count="23">
    <mergeCell ref="Q2:AE2"/>
    <mergeCell ref="B33:H33"/>
    <mergeCell ref="B34:B36"/>
    <mergeCell ref="D34:D36"/>
    <mergeCell ref="E34:E36"/>
    <mergeCell ref="F34:F36"/>
    <mergeCell ref="G34:G36"/>
    <mergeCell ref="H34:H36"/>
    <mergeCell ref="B2:E2"/>
    <mergeCell ref="F2:O2"/>
    <mergeCell ref="C40:G40"/>
    <mergeCell ref="B42:B43"/>
    <mergeCell ref="C45:E45"/>
    <mergeCell ref="C46:E46"/>
    <mergeCell ref="C50:E50"/>
    <mergeCell ref="B48:C48"/>
    <mergeCell ref="B49:C49"/>
    <mergeCell ref="C57:E57"/>
    <mergeCell ref="C51:E51"/>
    <mergeCell ref="C52:E52"/>
    <mergeCell ref="C53:E53"/>
    <mergeCell ref="C54:E54"/>
    <mergeCell ref="C56:E56"/>
  </mergeCells>
  <conditionalFormatting sqref="C37">
    <cfRule type="expression" dxfId="34" priority="26">
      <formula>AND(C37&gt;0,C37&lt;=D37)</formula>
    </cfRule>
    <cfRule type="expression" dxfId="33" priority="27">
      <formula>AND(C37&gt;0,C37&gt;D37)</formula>
    </cfRule>
  </conditionalFormatting>
  <conditionalFormatting sqref="C43">
    <cfRule type="cellIs" dxfId="32" priority="1" operator="equal">
      <formula>"NEIN"</formula>
    </cfRule>
  </conditionalFormatting>
  <conditionalFormatting sqref="D32">
    <cfRule type="containsText" dxfId="31" priority="28" operator="containsText" text="JA">
      <formula>NOT(ISERROR(SEARCH("JA",D32)))</formula>
    </cfRule>
    <cfRule type="containsText" dxfId="30" priority="29" operator="containsText" text="NEIN">
      <formula>NOT(ISERROR(SEARCH("NEIN",D32)))</formula>
    </cfRule>
    <cfRule type="containsText" dxfId="29" priority="30" operator="containsText" text="JA">
      <formula>NOT(ISERROR(SEARCH("JA",D32)))</formula>
    </cfRule>
    <cfRule type="containsText" dxfId="28" priority="31" operator="containsText" text="NEIN">
      <formula>NOT(ISERROR(SEARCH("NEIN",D32)))</formula>
    </cfRule>
  </conditionalFormatting>
  <conditionalFormatting sqref="D39">
    <cfRule type="containsText" dxfId="27" priority="36" operator="containsText" text="JA">
      <formula>NOT(ISERROR(SEARCH("JA",D39)))</formula>
    </cfRule>
    <cfRule type="containsText" dxfId="26" priority="37" operator="containsText" text="NEIN">
      <formula>NOT(ISERROR(SEARCH("NEIN",D39)))</formula>
    </cfRule>
    <cfRule type="containsText" dxfId="25" priority="38" operator="containsText" text="JA">
      <formula>NOT(ISERROR(SEARCH("JA",D39)))</formula>
    </cfRule>
    <cfRule type="containsText" dxfId="24" priority="39" operator="containsText" text="NEIN">
      <formula>NOT(ISERROR(SEARCH("NEIN",D39)))</formula>
    </cfRule>
  </conditionalFormatting>
  <conditionalFormatting sqref="D44">
    <cfRule type="containsText" dxfId="23" priority="32" operator="containsText" text="JA">
      <formula>NOT(ISERROR(SEARCH("JA",D44)))</formula>
    </cfRule>
    <cfRule type="containsText" dxfId="22" priority="33" operator="containsText" text="NEIN">
      <formula>NOT(ISERROR(SEARCH("NEIN",D44)))</formula>
    </cfRule>
    <cfRule type="containsText" dxfId="21" priority="34" operator="containsText" text="JA">
      <formula>NOT(ISERROR(SEARCH("JA",D44)))</formula>
    </cfRule>
    <cfRule type="containsText" dxfId="20" priority="35" operator="containsText" text="NEIN">
      <formula>NOT(ISERROR(SEARCH("NEIN",D44)))</formula>
    </cfRule>
  </conditionalFormatting>
  <conditionalFormatting sqref="G4:G31">
    <cfRule type="expression" dxfId="19" priority="44">
      <formula>AND(NOT(ISBLANK(F4)),NOT(EXACT(E4,F4)))</formula>
    </cfRule>
  </conditionalFormatting>
  <conditionalFormatting sqref="M4:M31">
    <cfRule type="containsText" dxfId="18" priority="5" operator="containsText" text="NEIN">
      <formula>NOT(ISERROR(SEARCH("NEIN",M4)))</formula>
    </cfRule>
    <cfRule type="containsText" dxfId="17" priority="6" operator="containsText" text="JA">
      <formula>NOT(ISERROR(SEARCH("JA",M4)))</formula>
    </cfRule>
  </conditionalFormatting>
  <conditionalFormatting sqref="M4:N31">
    <cfRule type="containsText" dxfId="16" priority="7" operator="containsText" text="NEIN">
      <formula>NOT(ISERROR(SEARCH("NEIN",M4)))</formula>
    </cfRule>
  </conditionalFormatting>
  <conditionalFormatting sqref="M4:P31">
    <cfRule type="containsText" dxfId="15" priority="4" operator="containsText" text="JA">
      <formula>NOT(ISERROR(SEARCH("JA",M4)))</formula>
    </cfRule>
  </conditionalFormatting>
  <conditionalFormatting sqref="N4:N31">
    <cfRule type="containsText" dxfId="14" priority="18" operator="containsText" text="JA">
      <formula>NOT(ISERROR(SEARCH("JA",N4)))</formula>
    </cfRule>
  </conditionalFormatting>
  <conditionalFormatting sqref="N4:P31">
    <cfRule type="containsText" dxfId="13" priority="19" operator="containsText" text="NEIN">
      <formula>NOT(ISERROR(SEARCH("NEIN",N4)))</formula>
    </cfRule>
  </conditionalFormatting>
  <conditionalFormatting sqref="O4:P31">
    <cfRule type="containsText" dxfId="12" priority="42" operator="containsText" text="JA">
      <formula>NOT(ISERROR(SEARCH("JA",O4)))</formula>
    </cfRule>
    <cfRule type="containsText" dxfId="11" priority="43" operator="containsText" text="NEIN">
      <formula>NOT(ISERROR(SEARCH("NEIN",O4)))</formula>
    </cfRule>
  </conditionalFormatting>
  <conditionalFormatting sqref="R4:R31">
    <cfRule type="expression" dxfId="10" priority="49">
      <formula>AND(NOT(ISBLANK(Q4)),NOT(EXACT(F4,Q4)))</formula>
    </cfRule>
  </conditionalFormatting>
  <conditionalFormatting sqref="X4:Y31">
    <cfRule type="containsText" dxfId="9" priority="14" operator="containsText" text="JA">
      <formula>NOT(ISERROR(SEARCH("JA",X4)))</formula>
    </cfRule>
    <cfRule type="containsText" dxfId="8" priority="15" operator="containsText" text="NEIN">
      <formula>NOT(ISERROR(SEARCH("NEIN",X4)))</formula>
    </cfRule>
  </conditionalFormatting>
  <conditionalFormatting sqref="X4:AA31">
    <cfRule type="containsText" dxfId="7" priority="8" operator="containsText" text="JA">
      <formula>NOT(ISERROR(SEARCH("JA",X4)))</formula>
    </cfRule>
    <cfRule type="containsText" dxfId="6" priority="11" operator="containsText" text="NEIN">
      <formula>NOT(ISERROR(SEARCH("NEIN",X4)))</formula>
    </cfRule>
  </conditionalFormatting>
  <conditionalFormatting sqref="Z4:AA31">
    <cfRule type="containsText" dxfId="5" priority="9" operator="containsText" text="NEIN">
      <formula>NOT(ISERROR(SEARCH("NEIN",Z4)))</formula>
    </cfRule>
    <cfRule type="containsText" dxfId="4" priority="10" operator="containsText" text="JA">
      <formula>NOT(ISERROR(SEARCH("JA",Z4)))</formula>
    </cfRule>
  </conditionalFormatting>
  <conditionalFormatting sqref="AA4:AA31">
    <cfRule type="expression" dxfId="3" priority="45">
      <formula>AND(AA4&gt;0,AA4&lt;=#REF!)</formula>
    </cfRule>
    <cfRule type="expression" dxfId="2" priority="46">
      <formula>AND(AA4&gt;0,AA4&gt;#REF!)</formula>
    </cfRule>
  </conditionalFormatting>
  <conditionalFormatting sqref="AD4:AD31">
    <cfRule type="expression" dxfId="1" priority="47">
      <formula>AND(AD4&gt;0,AD4&lt;=AE4)</formula>
    </cfRule>
    <cfRule type="expression" dxfId="0" priority="48">
      <formula>AND(AD4&gt;=0,AD4&gt;AE4)</formula>
    </cfRule>
  </conditionalFormatting>
  <dataValidations count="1">
    <dataValidation type="list" allowBlank="1" showInputMessage="1" showErrorMessage="1" sqref="D32 D39 D44 M4:M31 O4:O31 X4:X31 Z4:Z31" xr:uid="{4CDABD49-A856-491F-BDED-22CA4E6ED0E9}">
      <formula1>"Ja,Nein"</formula1>
    </dataValidation>
  </dataValidations>
  <hyperlinks>
    <hyperlink ref="H46" r:id="rId1" display="mailto:proimmo@enerprice-partners.ch" xr:uid="{3A54CC6E-B5A5-44BC-BF87-ADBB49B0C80D}"/>
  </hyperlinks>
  <pageMargins left="0.7" right="0.7" top="0.78740157499999996" bottom="0.78740157499999996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5E0C9F-C25A-430A-80C2-D9CFBEB6BE52}">
          <x14:formula1>
            <xm:f>'Vorgabe ProKilowatt Bel'!$A$2:$A$45</xm:f>
          </x14:formula1>
          <xm:sqref>C4:C31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A2E4-1C8D-444A-A7E5-DEFF2214D42D}">
  <dimension ref="A1:N469"/>
  <sheetViews>
    <sheetView zoomScale="85" zoomScaleNormal="85" workbookViewId="0">
      <selection activeCell="M9" sqref="M9"/>
    </sheetView>
  </sheetViews>
  <sheetFormatPr baseColWidth="10" defaultRowHeight="15"/>
  <cols>
    <col min="5" max="5" width="12.28515625" bestFit="1" customWidth="1"/>
  </cols>
  <sheetData>
    <row r="1" spans="1:14">
      <c r="A1" t="s">
        <v>499</v>
      </c>
      <c r="L1" t="s">
        <v>542</v>
      </c>
    </row>
    <row r="2" spans="1:14">
      <c r="J2" t="s">
        <v>539</v>
      </c>
      <c r="K2" t="s">
        <v>540</v>
      </c>
      <c r="L2">
        <f>IF(Anmeldung!I26=Ersatz_Heizlüfter!K2,1,0)</f>
        <v>0</v>
      </c>
    </row>
    <row r="3" spans="1:14">
      <c r="D3">
        <v>273.14999999999998</v>
      </c>
      <c r="K3" t="s">
        <v>541</v>
      </c>
      <c r="L3">
        <f>IF(Anmeldung!I26=Ersatz_Heizlüfter!K3,1,0)</f>
        <v>0</v>
      </c>
    </row>
    <row r="4" spans="1:14">
      <c r="B4" t="s">
        <v>500</v>
      </c>
      <c r="D4">
        <v>25</v>
      </c>
      <c r="E4" t="s">
        <v>501</v>
      </c>
      <c r="L4">
        <f>SUM(L2:L3)</f>
        <v>0</v>
      </c>
    </row>
    <row r="5" spans="1:14">
      <c r="B5" t="s">
        <v>502</v>
      </c>
      <c r="D5">
        <v>10</v>
      </c>
      <c r="E5" t="s">
        <v>503</v>
      </c>
    </row>
    <row r="6" spans="1:14">
      <c r="B6" t="s">
        <v>504</v>
      </c>
      <c r="D6">
        <v>0.4</v>
      </c>
    </row>
    <row r="7" spans="1:14">
      <c r="B7" t="s">
        <v>505</v>
      </c>
      <c r="D7" s="242">
        <f>Anmeldung!D27</f>
        <v>0</v>
      </c>
      <c r="E7" t="s">
        <v>506</v>
      </c>
    </row>
    <row r="8" spans="1:14">
      <c r="B8" t="s">
        <v>507</v>
      </c>
      <c r="D8">
        <v>0.15</v>
      </c>
      <c r="E8" t="s">
        <v>508</v>
      </c>
    </row>
    <row r="9" spans="1:14">
      <c r="B9" t="s">
        <v>509</v>
      </c>
      <c r="D9">
        <v>12000</v>
      </c>
      <c r="E9" t="s">
        <v>2</v>
      </c>
    </row>
    <row r="11" spans="1:14">
      <c r="K11" t="s">
        <v>529</v>
      </c>
      <c r="L11" t="s">
        <v>498</v>
      </c>
      <c r="M11" t="s">
        <v>537</v>
      </c>
      <c r="N11" t="s">
        <v>538</v>
      </c>
    </row>
    <row r="12" spans="1:14">
      <c r="A12" t="s">
        <v>510</v>
      </c>
      <c r="B12" t="s">
        <v>495</v>
      </c>
      <c r="C12" t="s">
        <v>496</v>
      </c>
      <c r="D12" t="s">
        <v>497</v>
      </c>
      <c r="F12" t="s">
        <v>498</v>
      </c>
      <c r="J12" t="s">
        <v>514</v>
      </c>
      <c r="K12">
        <f>+E89</f>
        <v>1840</v>
      </c>
      <c r="L12" s="241">
        <f>+F90</f>
        <v>0</v>
      </c>
      <c r="M12">
        <f>IF(Anmeldung!$I$25=Ersatz_Heizlüfter!J12,Ersatz_Heizlüfter!K12,0)</f>
        <v>0</v>
      </c>
      <c r="N12" s="241">
        <f>IF(Anmeldung!$I$25=Ersatz_Heizlüfter!J12,Ersatz_Heizlüfter!L12,0)</f>
        <v>0</v>
      </c>
    </row>
    <row r="13" spans="1:14">
      <c r="B13">
        <v>-7</v>
      </c>
      <c r="C13" s="240">
        <f>+($D$4+$D$3)/($D$4-(B13-$D$5))*$D$6</f>
        <v>2.8395238095238096</v>
      </c>
      <c r="D13">
        <v>10</v>
      </c>
      <c r="E13">
        <v>10</v>
      </c>
      <c r="F13" s="241">
        <f>+$D$7/C13*D13</f>
        <v>0</v>
      </c>
      <c r="J13" t="s">
        <v>511</v>
      </c>
      <c r="K13">
        <f>+E37</f>
        <v>1800</v>
      </c>
      <c r="L13" s="241">
        <f>+F38</f>
        <v>0</v>
      </c>
      <c r="M13">
        <f>IF(Anmeldung!$I$25=Ersatz_Heizlüfter!J13,Ersatz_Heizlüfter!K13,0)</f>
        <v>0</v>
      </c>
      <c r="N13" s="241">
        <f>IF(Anmeldung!$I$25=Ersatz_Heizlüfter!J13,Ersatz_Heizlüfter!L13,0)</f>
        <v>0</v>
      </c>
    </row>
    <row r="14" spans="1:14">
      <c r="B14">
        <v>-6</v>
      </c>
      <c r="C14" s="240">
        <f t="shared" ref="C14:C23" si="0">+($D$4+$D$3)/($D$4-(B14-$D$5))*$D$6</f>
        <v>2.908780487804878</v>
      </c>
      <c r="D14">
        <f>50+20-E13</f>
        <v>60</v>
      </c>
      <c r="E14">
        <f>+D14+E13</f>
        <v>70</v>
      </c>
      <c r="F14" s="241">
        <f t="shared" ref="F14:F23" si="1">+$D$7/C14*D14</f>
        <v>0</v>
      </c>
      <c r="J14" t="s">
        <v>512</v>
      </c>
      <c r="K14">
        <f>+E51</f>
        <v>1550</v>
      </c>
      <c r="L14" s="241">
        <f>+F52</f>
        <v>0</v>
      </c>
      <c r="M14">
        <f>IF(Anmeldung!$I$25=Ersatz_Heizlüfter!J14,Ersatz_Heizlüfter!K14,0)</f>
        <v>0</v>
      </c>
      <c r="N14" s="241">
        <f>IF(Anmeldung!$I$25=Ersatz_Heizlüfter!J14,Ersatz_Heizlüfter!L14,0)</f>
        <v>0</v>
      </c>
    </row>
    <row r="15" spans="1:14">
      <c r="B15">
        <v>-5</v>
      </c>
      <c r="C15" s="240">
        <f t="shared" si="0"/>
        <v>2.9815</v>
      </c>
      <c r="D15">
        <f>100+60-E14</f>
        <v>90</v>
      </c>
      <c r="E15">
        <f t="shared" ref="E15:E23" si="2">+D15+E14</f>
        <v>160</v>
      </c>
      <c r="F15" s="241">
        <f t="shared" si="1"/>
        <v>0</v>
      </c>
      <c r="J15" t="s">
        <v>513</v>
      </c>
      <c r="K15">
        <f>+E70</f>
        <v>2130</v>
      </c>
      <c r="L15" s="241">
        <f>+F71</f>
        <v>0</v>
      </c>
      <c r="M15">
        <f>IF(Anmeldung!$I$25=Ersatz_Heizlüfter!J15,Ersatz_Heizlüfter!K15,0)</f>
        <v>0</v>
      </c>
      <c r="N15" s="241">
        <f>IF(Anmeldung!$I$25=Ersatz_Heizlüfter!J15,Ersatz_Heizlüfter!L15,0)</f>
        <v>0</v>
      </c>
    </row>
    <row r="16" spans="1:14">
      <c r="B16">
        <v>-4</v>
      </c>
      <c r="C16" s="240">
        <f t="shared" si="0"/>
        <v>3.0579487179487179</v>
      </c>
      <c r="D16">
        <f>130+80-E15</f>
        <v>50</v>
      </c>
      <c r="E16">
        <f t="shared" si="2"/>
        <v>210</v>
      </c>
      <c r="F16" s="241">
        <f t="shared" si="1"/>
        <v>0</v>
      </c>
      <c r="J16" t="s">
        <v>515</v>
      </c>
      <c r="K16">
        <f>+E108</f>
        <v>2140</v>
      </c>
      <c r="L16" s="241">
        <f>+F109</f>
        <v>0</v>
      </c>
      <c r="M16">
        <f>IF(Anmeldung!$I$25=Ersatz_Heizlüfter!J16,Ersatz_Heizlüfter!K16,0)</f>
        <v>0</v>
      </c>
      <c r="N16" s="241">
        <f>IF(Anmeldung!$I$25=Ersatz_Heizlüfter!J16,Ersatz_Heizlüfter!L16,0)</f>
        <v>0</v>
      </c>
    </row>
    <row r="17" spans="1:14">
      <c r="B17">
        <v>-3</v>
      </c>
      <c r="C17" s="240">
        <f t="shared" si="0"/>
        <v>3.1384210526315788</v>
      </c>
      <c r="D17">
        <f>200+120-E16</f>
        <v>110</v>
      </c>
      <c r="E17">
        <f t="shared" si="2"/>
        <v>320</v>
      </c>
      <c r="F17" s="241">
        <f t="shared" si="1"/>
        <v>0</v>
      </c>
      <c r="J17" t="s">
        <v>516</v>
      </c>
      <c r="K17">
        <f>+E133</f>
        <v>4300</v>
      </c>
      <c r="L17" s="241">
        <f>+F134</f>
        <v>0</v>
      </c>
      <c r="M17">
        <f>IF(Anmeldung!$I$25=Ersatz_Heizlüfter!J17,Ersatz_Heizlüfter!K17,0)</f>
        <v>0</v>
      </c>
      <c r="N17" s="241">
        <f>IF(Anmeldung!$I$25=Ersatz_Heizlüfter!J17,Ersatz_Heizlüfter!L17,0)</f>
        <v>0</v>
      </c>
    </row>
    <row r="18" spans="1:14">
      <c r="B18">
        <v>-2</v>
      </c>
      <c r="C18" s="240">
        <f t="shared" si="0"/>
        <v>3.2232432432432434</v>
      </c>
      <c r="D18">
        <f>300+180-E17</f>
        <v>160</v>
      </c>
      <c r="E18">
        <f t="shared" si="2"/>
        <v>480</v>
      </c>
      <c r="F18" s="241">
        <f t="shared" si="1"/>
        <v>0</v>
      </c>
      <c r="J18" t="s">
        <v>517</v>
      </c>
      <c r="K18">
        <f>+E158</f>
        <v>2930</v>
      </c>
      <c r="L18" s="241">
        <f>+F159</f>
        <v>0</v>
      </c>
      <c r="M18">
        <f>IF(Anmeldung!$I$25=Ersatz_Heizlüfter!J18,Ersatz_Heizlüfter!K18,0)</f>
        <v>0</v>
      </c>
      <c r="N18" s="241">
        <f>IF(Anmeldung!$I$25=Ersatz_Heizlüfter!J18,Ersatz_Heizlüfter!L18,0)</f>
        <v>0</v>
      </c>
    </row>
    <row r="19" spans="1:14">
      <c r="B19">
        <v>-1</v>
      </c>
      <c r="C19" s="240">
        <f t="shared" si="0"/>
        <v>3.3127777777777774</v>
      </c>
      <c r="D19">
        <f>400+280-E18</f>
        <v>200</v>
      </c>
      <c r="E19">
        <f t="shared" si="2"/>
        <v>680</v>
      </c>
      <c r="F19" s="241">
        <f t="shared" si="1"/>
        <v>0</v>
      </c>
      <c r="J19" t="s">
        <v>518</v>
      </c>
      <c r="K19">
        <f>+E183</f>
        <v>1600</v>
      </c>
      <c r="L19" s="241">
        <f>+F184</f>
        <v>0</v>
      </c>
      <c r="M19">
        <f>IF(Anmeldung!$I$25=Ersatz_Heizlüfter!J19,Ersatz_Heizlüfter!K19,0)</f>
        <v>0</v>
      </c>
      <c r="N19" s="241">
        <f>IF(Anmeldung!$I$25=Ersatz_Heizlüfter!J19,Ersatz_Heizlüfter!L19,0)</f>
        <v>0</v>
      </c>
    </row>
    <row r="20" spans="1:14">
      <c r="B20">
        <v>0</v>
      </c>
      <c r="C20" s="240">
        <f t="shared" si="0"/>
        <v>3.4074285714285715</v>
      </c>
      <c r="D20">
        <f>550+350-E19</f>
        <v>220</v>
      </c>
      <c r="E20">
        <f t="shared" si="2"/>
        <v>900</v>
      </c>
      <c r="F20" s="241">
        <f t="shared" si="1"/>
        <v>0</v>
      </c>
      <c r="J20" t="s">
        <v>519</v>
      </c>
      <c r="K20">
        <f>+E208</f>
        <v>2320</v>
      </c>
      <c r="L20" s="241">
        <f>+F209</f>
        <v>0</v>
      </c>
      <c r="M20">
        <f>IF(Anmeldung!$I$25=Ersatz_Heizlüfter!J20,Ersatz_Heizlüfter!K20,0)</f>
        <v>0</v>
      </c>
      <c r="N20" s="241">
        <f>IF(Anmeldung!$I$25=Ersatz_Heizlüfter!J20,Ersatz_Heizlüfter!L20,0)</f>
        <v>0</v>
      </c>
    </row>
    <row r="21" spans="1:14">
      <c r="B21">
        <v>1</v>
      </c>
      <c r="C21" s="240">
        <f t="shared" si="0"/>
        <v>3.5076470588235291</v>
      </c>
      <c r="D21">
        <f>750+490-E20</f>
        <v>340</v>
      </c>
      <c r="E21">
        <f t="shared" si="2"/>
        <v>1240</v>
      </c>
      <c r="F21" s="241">
        <f t="shared" si="1"/>
        <v>0</v>
      </c>
      <c r="J21" t="s">
        <v>520</v>
      </c>
      <c r="K21">
        <f>+E233</f>
        <v>2950</v>
      </c>
      <c r="L21" s="241">
        <f>+F234</f>
        <v>0</v>
      </c>
      <c r="M21">
        <f>IF(Anmeldung!$I$25=Ersatz_Heizlüfter!J21,Ersatz_Heizlüfter!K21,0)</f>
        <v>0</v>
      </c>
      <c r="N21" s="241">
        <f>IF(Anmeldung!$I$25=Ersatz_Heizlüfter!J21,Ersatz_Heizlüfter!L21,0)</f>
        <v>0</v>
      </c>
    </row>
    <row r="22" spans="1:14">
      <c r="B22">
        <v>2</v>
      </c>
      <c r="C22" s="240">
        <f t="shared" si="0"/>
        <v>3.6139393939393933</v>
      </c>
      <c r="D22">
        <f>950+620-E21</f>
        <v>330</v>
      </c>
      <c r="E22">
        <f t="shared" si="2"/>
        <v>1570</v>
      </c>
      <c r="F22" s="241">
        <f t="shared" si="1"/>
        <v>0</v>
      </c>
      <c r="J22" t="s">
        <v>521</v>
      </c>
      <c r="K22">
        <f>+E258</f>
        <v>920</v>
      </c>
      <c r="L22" s="241">
        <f>+F259</f>
        <v>0</v>
      </c>
      <c r="M22">
        <f>IF(Anmeldung!$I$25=Ersatz_Heizlüfter!J22,Ersatz_Heizlüfter!K22,0)</f>
        <v>0</v>
      </c>
      <c r="N22" s="241">
        <f>IF(Anmeldung!$I$25=Ersatz_Heizlüfter!J22,Ersatz_Heizlüfter!L22,0)</f>
        <v>0</v>
      </c>
    </row>
    <row r="23" spans="1:14">
      <c r="B23">
        <v>3</v>
      </c>
      <c r="C23" s="240">
        <f t="shared" si="0"/>
        <v>3.7268749999999997</v>
      </c>
      <c r="D23">
        <f>1120+780-E22</f>
        <v>330</v>
      </c>
      <c r="E23">
        <f t="shared" si="2"/>
        <v>1900</v>
      </c>
      <c r="F23" s="241">
        <f t="shared" si="1"/>
        <v>0</v>
      </c>
      <c r="H23" s="241"/>
      <c r="J23" t="s">
        <v>510</v>
      </c>
      <c r="K23">
        <f>+E23</f>
        <v>1900</v>
      </c>
      <c r="L23" s="241">
        <f>+F24</f>
        <v>0</v>
      </c>
      <c r="M23">
        <f>IF(Anmeldung!$I$25=Ersatz_Heizlüfter!J23,Ersatz_Heizlüfter!K23,0)</f>
        <v>0</v>
      </c>
      <c r="N23" s="241">
        <f>IF(Anmeldung!$I$25=Ersatz_Heizlüfter!J23,Ersatz_Heizlüfter!L23,0)</f>
        <v>0</v>
      </c>
    </row>
    <row r="24" spans="1:14">
      <c r="F24" s="241">
        <f>SUM(F13:F23)</f>
        <v>0</v>
      </c>
      <c r="J24" t="s">
        <v>522</v>
      </c>
      <c r="K24">
        <f>+E283</f>
        <v>1600</v>
      </c>
      <c r="L24" s="241">
        <f>+F284</f>
        <v>0</v>
      </c>
      <c r="M24">
        <f>IF(Anmeldung!$I$25=Ersatz_Heizlüfter!J24,Ersatz_Heizlüfter!K24,0)</f>
        <v>0</v>
      </c>
      <c r="N24" s="241">
        <f>IF(Anmeldung!$I$25=Ersatz_Heizlüfter!J24,Ersatz_Heizlüfter!L24,0)</f>
        <v>0</v>
      </c>
    </row>
    <row r="25" spans="1:14">
      <c r="J25" t="s">
        <v>523</v>
      </c>
      <c r="K25">
        <f>+E308</f>
        <v>2930</v>
      </c>
      <c r="L25" s="241">
        <f>+F309</f>
        <v>0</v>
      </c>
      <c r="M25">
        <f>IF(Anmeldung!$I$25=Ersatz_Heizlüfter!J25,Ersatz_Heizlüfter!K25,0)</f>
        <v>0</v>
      </c>
      <c r="N25" s="241">
        <f>IF(Anmeldung!$I$25=Ersatz_Heizlüfter!J25,Ersatz_Heizlüfter!L25,0)</f>
        <v>0</v>
      </c>
    </row>
    <row r="26" spans="1:14">
      <c r="A26" t="s">
        <v>511</v>
      </c>
      <c r="B26" t="s">
        <v>495</v>
      </c>
      <c r="C26" t="s">
        <v>496</v>
      </c>
      <c r="D26" t="s">
        <v>497</v>
      </c>
      <c r="F26" t="s">
        <v>498</v>
      </c>
      <c r="J26" t="s">
        <v>524</v>
      </c>
      <c r="K26">
        <f>+E343</f>
        <v>4670</v>
      </c>
      <c r="L26" s="241">
        <f>+F344</f>
        <v>0</v>
      </c>
      <c r="M26">
        <f>IF(Anmeldung!$I$25=Ersatz_Heizlüfter!J26,Ersatz_Heizlüfter!K26,0)</f>
        <v>0</v>
      </c>
      <c r="N26" s="241">
        <f>IF(Anmeldung!$I$25=Ersatz_Heizlüfter!J26,Ersatz_Heizlüfter!L26,0)</f>
        <v>0</v>
      </c>
    </row>
    <row r="27" spans="1:14">
      <c r="B27">
        <v>-7</v>
      </c>
      <c r="C27" s="240">
        <f>+($D$4+$D$3)/($D$4-(B27-$D$5))*$D$6</f>
        <v>2.8395238095238096</v>
      </c>
      <c r="D27">
        <v>10</v>
      </c>
      <c r="E27">
        <v>10</v>
      </c>
      <c r="F27" s="241">
        <f>+$D$7/C27*D27</f>
        <v>0</v>
      </c>
      <c r="J27" t="s">
        <v>525</v>
      </c>
      <c r="K27">
        <f>+E368</f>
        <v>2580</v>
      </c>
      <c r="L27" s="241">
        <f>+F369</f>
        <v>0</v>
      </c>
      <c r="M27">
        <f>IF(Anmeldung!$I$25=Ersatz_Heizlüfter!J27,Ersatz_Heizlüfter!K27,0)</f>
        <v>0</v>
      </c>
      <c r="N27" s="241">
        <f>IF(Anmeldung!$I$25=Ersatz_Heizlüfter!J27,Ersatz_Heizlüfter!L27,0)</f>
        <v>0</v>
      </c>
    </row>
    <row r="28" spans="1:14">
      <c r="B28">
        <v>-6</v>
      </c>
      <c r="C28" s="240">
        <f t="shared" ref="C28:C37" si="3">+($D$4+$D$3)/($D$4-(B28-$D$5))*$D$6</f>
        <v>2.908780487804878</v>
      </c>
      <c r="D28">
        <f>20-E27</f>
        <v>10</v>
      </c>
      <c r="E28">
        <f>+D28+E27</f>
        <v>20</v>
      </c>
      <c r="F28" s="241">
        <f t="shared" ref="F28:F37" si="4">+$D$7/C28*D28</f>
        <v>0</v>
      </c>
      <c r="J28" t="s">
        <v>526</v>
      </c>
      <c r="K28">
        <f>+E393</f>
        <v>2050</v>
      </c>
      <c r="L28" s="241">
        <f>+F394</f>
        <v>0</v>
      </c>
      <c r="M28">
        <f>IF(Anmeldung!$I$25=Ersatz_Heizlüfter!J28,Ersatz_Heizlüfter!K28,0)</f>
        <v>0</v>
      </c>
      <c r="N28" s="241">
        <f>IF(Anmeldung!$I$25=Ersatz_Heizlüfter!J28,Ersatz_Heizlüfter!L28,0)</f>
        <v>0</v>
      </c>
    </row>
    <row r="29" spans="1:14">
      <c r="B29">
        <v>-5</v>
      </c>
      <c r="C29" s="240">
        <f t="shared" si="3"/>
        <v>2.9815</v>
      </c>
      <c r="D29">
        <f>30+10-E28</f>
        <v>20</v>
      </c>
      <c r="E29">
        <f t="shared" ref="E29:E37" si="5">+D29+E28</f>
        <v>40</v>
      </c>
      <c r="F29" s="241">
        <f t="shared" si="4"/>
        <v>0</v>
      </c>
      <c r="J29" t="s">
        <v>527</v>
      </c>
      <c r="K29">
        <f>+E418</f>
        <v>2050</v>
      </c>
      <c r="L29" s="241">
        <f>+F419</f>
        <v>0</v>
      </c>
      <c r="M29">
        <f>IF(Anmeldung!$I$25=Ersatz_Heizlüfter!J29,Ersatz_Heizlüfter!K29,0)</f>
        <v>0</v>
      </c>
      <c r="N29" s="241">
        <f>IF(Anmeldung!$I$25=Ersatz_Heizlüfter!J29,Ersatz_Heizlüfter!L29,0)</f>
        <v>0</v>
      </c>
    </row>
    <row r="30" spans="1:14">
      <c r="B30">
        <v>-4</v>
      </c>
      <c r="C30" s="240">
        <f t="shared" si="3"/>
        <v>3.0579487179487179</v>
      </c>
      <c r="D30">
        <f>50+20-E29</f>
        <v>30</v>
      </c>
      <c r="E30">
        <f t="shared" si="5"/>
        <v>70</v>
      </c>
      <c r="F30" s="241">
        <f t="shared" si="4"/>
        <v>0</v>
      </c>
      <c r="J30" t="s">
        <v>530</v>
      </c>
      <c r="K30">
        <f>+E443</f>
        <v>4100</v>
      </c>
      <c r="L30" s="241">
        <f>+F444</f>
        <v>0</v>
      </c>
      <c r="M30">
        <f>IF(Anmeldung!$I$25=Ersatz_Heizlüfter!J30,Ersatz_Heizlüfter!K30,0)</f>
        <v>0</v>
      </c>
      <c r="N30" s="241">
        <f>IF(Anmeldung!$I$25=Ersatz_Heizlüfter!J30,Ersatz_Heizlüfter!L30,0)</f>
        <v>0</v>
      </c>
    </row>
    <row r="31" spans="1:14">
      <c r="B31">
        <v>-3</v>
      </c>
      <c r="C31" s="240">
        <f t="shared" si="3"/>
        <v>3.1384210526315788</v>
      </c>
      <c r="D31">
        <f>100+40-E30</f>
        <v>70</v>
      </c>
      <c r="E31">
        <f t="shared" si="5"/>
        <v>140</v>
      </c>
      <c r="F31" s="241">
        <f t="shared" si="4"/>
        <v>0</v>
      </c>
      <c r="J31" t="s">
        <v>528</v>
      </c>
      <c r="K31">
        <f>+E468</f>
        <v>2050</v>
      </c>
      <c r="L31" s="241">
        <f>+F469</f>
        <v>0</v>
      </c>
      <c r="M31">
        <f>IF(Anmeldung!$I$25=Ersatz_Heizlüfter!J31,Ersatz_Heizlüfter!K31,0)</f>
        <v>0</v>
      </c>
      <c r="N31" s="241">
        <f>IF(Anmeldung!$I$25=Ersatz_Heizlüfter!J31,Ersatz_Heizlüfter!L31,0)</f>
        <v>0</v>
      </c>
    </row>
    <row r="32" spans="1:14">
      <c r="B32">
        <v>-2</v>
      </c>
      <c r="C32" s="240">
        <f t="shared" si="3"/>
        <v>3.2232432432432434</v>
      </c>
      <c r="D32">
        <f>200+80-E31</f>
        <v>140</v>
      </c>
      <c r="E32">
        <f t="shared" si="5"/>
        <v>280</v>
      </c>
      <c r="F32" s="241">
        <f t="shared" si="4"/>
        <v>0</v>
      </c>
      <c r="M32">
        <f>SUM(M12:M31)</f>
        <v>0</v>
      </c>
      <c r="N32" s="241">
        <f>SUM(N12:N31)</f>
        <v>0</v>
      </c>
    </row>
    <row r="33" spans="1:6">
      <c r="B33">
        <v>-1</v>
      </c>
      <c r="C33" s="240">
        <f t="shared" si="3"/>
        <v>3.3127777777777774</v>
      </c>
      <c r="D33">
        <f>280+150-E32</f>
        <v>150</v>
      </c>
      <c r="E33">
        <f t="shared" si="5"/>
        <v>430</v>
      </c>
      <c r="F33" s="241">
        <f t="shared" si="4"/>
        <v>0</v>
      </c>
    </row>
    <row r="34" spans="1:6">
      <c r="B34">
        <v>0</v>
      </c>
      <c r="C34" s="240">
        <f t="shared" si="3"/>
        <v>3.4074285714285715</v>
      </c>
      <c r="D34">
        <f>450+250-E33</f>
        <v>270</v>
      </c>
      <c r="E34">
        <f t="shared" si="5"/>
        <v>700</v>
      </c>
      <c r="F34" s="241">
        <f t="shared" si="4"/>
        <v>0</v>
      </c>
    </row>
    <row r="35" spans="1:6">
      <c r="B35">
        <v>1</v>
      </c>
      <c r="C35" s="240">
        <f t="shared" si="3"/>
        <v>3.5076470588235291</v>
      </c>
      <c r="D35">
        <f>700+400-E34</f>
        <v>400</v>
      </c>
      <c r="E35">
        <f t="shared" si="5"/>
        <v>1100</v>
      </c>
      <c r="F35" s="241">
        <f t="shared" si="4"/>
        <v>0</v>
      </c>
    </row>
    <row r="36" spans="1:6">
      <c r="B36">
        <v>2</v>
      </c>
      <c r="C36" s="240">
        <f t="shared" si="3"/>
        <v>3.6139393939393933</v>
      </c>
      <c r="D36">
        <f>900+600-E35</f>
        <v>400</v>
      </c>
      <c r="E36">
        <f t="shared" si="5"/>
        <v>1500</v>
      </c>
      <c r="F36" s="241">
        <f t="shared" si="4"/>
        <v>0</v>
      </c>
    </row>
    <row r="37" spans="1:6">
      <c r="B37">
        <v>3</v>
      </c>
      <c r="C37" s="240">
        <f t="shared" si="3"/>
        <v>3.7268749999999997</v>
      </c>
      <c r="D37">
        <f>1050+750-E36</f>
        <v>300</v>
      </c>
      <c r="E37">
        <f t="shared" si="5"/>
        <v>1800</v>
      </c>
      <c r="F37" s="241">
        <f t="shared" si="4"/>
        <v>0</v>
      </c>
    </row>
    <row r="38" spans="1:6">
      <c r="F38" s="241">
        <f>SUM(F27:F37)</f>
        <v>0</v>
      </c>
    </row>
    <row r="40" spans="1:6">
      <c r="A40" t="s">
        <v>512</v>
      </c>
      <c r="B40" t="s">
        <v>495</v>
      </c>
      <c r="C40" t="s">
        <v>496</v>
      </c>
      <c r="D40" t="s">
        <v>497</v>
      </c>
      <c r="F40" t="s">
        <v>498</v>
      </c>
    </row>
    <row r="41" spans="1:6">
      <c r="B41">
        <v>-7</v>
      </c>
      <c r="C41" s="240">
        <f>+($D$4+$D$3)/($D$4-(B41-$D$5))*$D$6</f>
        <v>2.8395238095238096</v>
      </c>
      <c r="D41">
        <f>30+10</f>
        <v>40</v>
      </c>
      <c r="E41">
        <f>D41</f>
        <v>40</v>
      </c>
      <c r="F41" s="241">
        <f>+$D$7/C41*D41</f>
        <v>0</v>
      </c>
    </row>
    <row r="42" spans="1:6">
      <c r="B42">
        <v>-6</v>
      </c>
      <c r="C42" s="240">
        <f t="shared" ref="C42:C51" si="6">+($D$4+$D$3)/($D$4-(B42-$D$5))*$D$6</f>
        <v>2.908780487804878</v>
      </c>
      <c r="D42">
        <f>50+10-E41</f>
        <v>20</v>
      </c>
      <c r="E42">
        <f>+D42+E41</f>
        <v>60</v>
      </c>
      <c r="F42" s="241">
        <f t="shared" ref="F42:F51" si="7">+$D$7/C42*D42</f>
        <v>0</v>
      </c>
    </row>
    <row r="43" spans="1:6">
      <c r="B43">
        <v>-5</v>
      </c>
      <c r="C43" s="240">
        <f t="shared" si="6"/>
        <v>2.9815</v>
      </c>
      <c r="D43">
        <f>90+30-E42</f>
        <v>60</v>
      </c>
      <c r="E43">
        <f t="shared" ref="E43:E51" si="8">+D43+E42</f>
        <v>120</v>
      </c>
      <c r="F43" s="241">
        <f t="shared" si="7"/>
        <v>0</v>
      </c>
    </row>
    <row r="44" spans="1:6">
      <c r="B44">
        <v>-4</v>
      </c>
      <c r="C44" s="240">
        <f t="shared" si="6"/>
        <v>3.0579487179487179</v>
      </c>
      <c r="D44">
        <f>110+50-E43</f>
        <v>40</v>
      </c>
      <c r="E44">
        <f t="shared" si="8"/>
        <v>160</v>
      </c>
      <c r="F44" s="241">
        <f t="shared" si="7"/>
        <v>0</v>
      </c>
    </row>
    <row r="45" spans="1:6">
      <c r="B45">
        <v>-3</v>
      </c>
      <c r="C45" s="240">
        <f t="shared" si="6"/>
        <v>3.1384210526315788</v>
      </c>
      <c r="D45">
        <f>150+80-E44</f>
        <v>70</v>
      </c>
      <c r="E45">
        <f t="shared" si="8"/>
        <v>230</v>
      </c>
      <c r="F45" s="241">
        <f t="shared" si="7"/>
        <v>0</v>
      </c>
    </row>
    <row r="46" spans="1:6">
      <c r="B46">
        <v>-2</v>
      </c>
      <c r="C46" s="240">
        <f t="shared" si="6"/>
        <v>3.2232432432432434</v>
      </c>
      <c r="D46">
        <f>20+120-E45</f>
        <v>-90</v>
      </c>
      <c r="E46">
        <f t="shared" si="8"/>
        <v>140</v>
      </c>
      <c r="F46" s="241">
        <f t="shared" si="7"/>
        <v>0</v>
      </c>
    </row>
    <row r="47" spans="1:6">
      <c r="B47">
        <v>-1</v>
      </c>
      <c r="C47" s="240">
        <f t="shared" si="6"/>
        <v>3.3127777777777774</v>
      </c>
      <c r="D47">
        <f>280+180-E46</f>
        <v>320</v>
      </c>
      <c r="E47">
        <f t="shared" si="8"/>
        <v>460</v>
      </c>
      <c r="F47" s="241">
        <f t="shared" si="7"/>
        <v>0</v>
      </c>
    </row>
    <row r="48" spans="1:6">
      <c r="B48">
        <v>0</v>
      </c>
      <c r="C48" s="240">
        <f t="shared" si="6"/>
        <v>3.4074285714285715</v>
      </c>
      <c r="D48">
        <f>410+250-E47</f>
        <v>200</v>
      </c>
      <c r="E48">
        <f t="shared" si="8"/>
        <v>660</v>
      </c>
      <c r="F48" s="241">
        <f t="shared" si="7"/>
        <v>0</v>
      </c>
    </row>
    <row r="49" spans="1:6">
      <c r="B49">
        <v>1</v>
      </c>
      <c r="C49" s="240">
        <f t="shared" si="6"/>
        <v>3.5076470588235291</v>
      </c>
      <c r="D49">
        <f>550+300-E48</f>
        <v>190</v>
      </c>
      <c r="E49">
        <f t="shared" si="8"/>
        <v>850</v>
      </c>
      <c r="F49" s="241">
        <f t="shared" si="7"/>
        <v>0</v>
      </c>
    </row>
    <row r="50" spans="1:6">
      <c r="B50">
        <v>2</v>
      </c>
      <c r="C50" s="240">
        <f t="shared" si="6"/>
        <v>3.6139393939393933</v>
      </c>
      <c r="D50">
        <f>720+410-E49</f>
        <v>280</v>
      </c>
      <c r="E50">
        <f t="shared" si="8"/>
        <v>1130</v>
      </c>
      <c r="F50" s="241">
        <f t="shared" si="7"/>
        <v>0</v>
      </c>
    </row>
    <row r="51" spans="1:6">
      <c r="B51">
        <v>3</v>
      </c>
      <c r="C51" s="240">
        <f t="shared" si="6"/>
        <v>3.7268749999999997</v>
      </c>
      <c r="D51">
        <f>950+600-E50</f>
        <v>420</v>
      </c>
      <c r="E51">
        <f t="shared" si="8"/>
        <v>1550</v>
      </c>
      <c r="F51" s="241">
        <f t="shared" si="7"/>
        <v>0</v>
      </c>
    </row>
    <row r="52" spans="1:6">
      <c r="F52" s="241">
        <f>SUM(F41:F51)</f>
        <v>0</v>
      </c>
    </row>
    <row r="54" spans="1:6">
      <c r="A54" t="s">
        <v>513</v>
      </c>
      <c r="B54" t="s">
        <v>495</v>
      </c>
      <c r="C54" t="s">
        <v>496</v>
      </c>
      <c r="D54" t="s">
        <v>497</v>
      </c>
      <c r="F54" t="s">
        <v>498</v>
      </c>
    </row>
    <row r="55" spans="1:6">
      <c r="B55">
        <v>-12</v>
      </c>
      <c r="C55" s="240">
        <f t="shared" ref="C55:C60" si="9">+($D$4+$D$3)/($D$4-(B55-$D$5))*$D$6</f>
        <v>2.5374468085106385</v>
      </c>
      <c r="D55">
        <v>10</v>
      </c>
      <c r="E55">
        <f>D55</f>
        <v>10</v>
      </c>
      <c r="F55" s="241">
        <f>+$D$7/C55*D55</f>
        <v>0</v>
      </c>
    </row>
    <row r="56" spans="1:6">
      <c r="B56">
        <v>-11</v>
      </c>
      <c r="C56" s="240">
        <f t="shared" si="9"/>
        <v>2.5926086956521739</v>
      </c>
      <c r="D56">
        <f>20-E55</f>
        <v>10</v>
      </c>
      <c r="E56">
        <f t="shared" ref="E56:E60" si="10">+D56+E55</f>
        <v>20</v>
      </c>
      <c r="F56" s="241">
        <f>+$D$7/C56*D56</f>
        <v>0</v>
      </c>
    </row>
    <row r="57" spans="1:6">
      <c r="B57">
        <v>-10</v>
      </c>
      <c r="C57" s="240">
        <f t="shared" si="9"/>
        <v>2.6502222222222223</v>
      </c>
      <c r="D57">
        <f>30-E56</f>
        <v>10</v>
      </c>
      <c r="E57">
        <f t="shared" si="10"/>
        <v>30</v>
      </c>
      <c r="F57" s="241">
        <f t="shared" ref="F57:F60" si="11">+$D$7/C57*D57</f>
        <v>0</v>
      </c>
    </row>
    <row r="58" spans="1:6">
      <c r="B58">
        <v>-9</v>
      </c>
      <c r="C58" s="240">
        <f t="shared" si="9"/>
        <v>2.7104545454545454</v>
      </c>
      <c r="D58">
        <f>40+10-E57</f>
        <v>20</v>
      </c>
      <c r="E58">
        <f t="shared" si="10"/>
        <v>50</v>
      </c>
      <c r="F58" s="241">
        <f t="shared" si="11"/>
        <v>0</v>
      </c>
    </row>
    <row r="59" spans="1:6">
      <c r="B59">
        <v>-8</v>
      </c>
      <c r="C59" s="240">
        <f t="shared" si="9"/>
        <v>2.7734883720930235</v>
      </c>
      <c r="D59">
        <f>90-E58</f>
        <v>40</v>
      </c>
      <c r="E59">
        <f t="shared" si="10"/>
        <v>90</v>
      </c>
      <c r="F59" s="241">
        <f t="shared" si="11"/>
        <v>0</v>
      </c>
    </row>
    <row r="60" spans="1:6">
      <c r="B60">
        <v>-7</v>
      </c>
      <c r="C60" s="240">
        <f t="shared" si="9"/>
        <v>2.8395238095238096</v>
      </c>
      <c r="D60">
        <f>120-E59</f>
        <v>30</v>
      </c>
      <c r="E60">
        <f t="shared" si="10"/>
        <v>120</v>
      </c>
      <c r="F60" s="241">
        <f t="shared" si="11"/>
        <v>0</v>
      </c>
    </row>
    <row r="61" spans="1:6">
      <c r="B61">
        <v>-6</v>
      </c>
      <c r="C61" s="240">
        <f t="shared" ref="C61:C70" si="12">+($D$4+$D$3)/($D$4-(B61-$D$5))*$D$6</f>
        <v>2.908780487804878</v>
      </c>
      <c r="D61">
        <f>150-E60</f>
        <v>30</v>
      </c>
      <c r="E61">
        <f>+D61+E60</f>
        <v>150</v>
      </c>
      <c r="F61" s="241">
        <f t="shared" ref="F61:F70" si="13">+$D$7/C61*D61</f>
        <v>0</v>
      </c>
    </row>
    <row r="62" spans="1:6">
      <c r="B62">
        <v>-5</v>
      </c>
      <c r="C62" s="240">
        <f t="shared" si="12"/>
        <v>2.9815</v>
      </c>
      <c r="D62">
        <f>190-E61</f>
        <v>40</v>
      </c>
      <c r="E62">
        <f t="shared" ref="E62:E70" si="14">+D62+E61</f>
        <v>190</v>
      </c>
      <c r="F62" s="241">
        <f t="shared" si="13"/>
        <v>0</v>
      </c>
    </row>
    <row r="63" spans="1:6">
      <c r="B63">
        <v>-4</v>
      </c>
      <c r="C63" s="240">
        <f t="shared" si="12"/>
        <v>3.0579487179487179</v>
      </c>
      <c r="D63">
        <f>260-E62</f>
        <v>70</v>
      </c>
      <c r="E63">
        <f t="shared" si="14"/>
        <v>260</v>
      </c>
      <c r="F63" s="241">
        <f t="shared" si="13"/>
        <v>0</v>
      </c>
    </row>
    <row r="64" spans="1:6">
      <c r="B64">
        <v>-3</v>
      </c>
      <c r="C64" s="240">
        <f t="shared" si="12"/>
        <v>3.1384210526315788</v>
      </c>
      <c r="D64">
        <f>370-E63</f>
        <v>110</v>
      </c>
      <c r="E64">
        <f t="shared" si="14"/>
        <v>370</v>
      </c>
      <c r="F64" s="241">
        <f t="shared" si="13"/>
        <v>0</v>
      </c>
    </row>
    <row r="65" spans="1:6">
      <c r="B65">
        <v>-2</v>
      </c>
      <c r="C65" s="240">
        <f t="shared" si="12"/>
        <v>3.2232432432432434</v>
      </c>
      <c r="D65">
        <f>500-E64</f>
        <v>130</v>
      </c>
      <c r="E65">
        <f t="shared" si="14"/>
        <v>500</v>
      </c>
      <c r="F65" s="241">
        <f t="shared" si="13"/>
        <v>0</v>
      </c>
    </row>
    <row r="66" spans="1:6">
      <c r="B66">
        <v>-1</v>
      </c>
      <c r="C66" s="240">
        <f t="shared" si="12"/>
        <v>3.3127777777777774</v>
      </c>
      <c r="D66">
        <f>720-E65</f>
        <v>220</v>
      </c>
      <c r="E66">
        <f t="shared" si="14"/>
        <v>720</v>
      </c>
      <c r="F66" s="241">
        <f t="shared" si="13"/>
        <v>0</v>
      </c>
    </row>
    <row r="67" spans="1:6">
      <c r="B67">
        <v>0</v>
      </c>
      <c r="C67" s="240">
        <f t="shared" si="12"/>
        <v>3.4074285714285715</v>
      </c>
      <c r="D67">
        <f>610+380-E66</f>
        <v>270</v>
      </c>
      <c r="E67">
        <f t="shared" si="14"/>
        <v>990</v>
      </c>
      <c r="F67" s="241">
        <f t="shared" si="13"/>
        <v>0</v>
      </c>
    </row>
    <row r="68" spans="1:6">
      <c r="B68">
        <v>1</v>
      </c>
      <c r="C68" s="240">
        <f t="shared" si="12"/>
        <v>3.5076470588235291</v>
      </c>
      <c r="D68">
        <f>800+500-E67</f>
        <v>310</v>
      </c>
      <c r="E68">
        <f t="shared" si="14"/>
        <v>1300</v>
      </c>
      <c r="F68" s="241">
        <f t="shared" si="13"/>
        <v>0</v>
      </c>
    </row>
    <row r="69" spans="1:6">
      <c r="B69">
        <v>2</v>
      </c>
      <c r="C69" s="240">
        <f t="shared" si="12"/>
        <v>3.6139393939393933</v>
      </c>
      <c r="D69">
        <f>1700-E68</f>
        <v>400</v>
      </c>
      <c r="E69">
        <f t="shared" si="14"/>
        <v>1700</v>
      </c>
      <c r="F69" s="241">
        <f t="shared" si="13"/>
        <v>0</v>
      </c>
    </row>
    <row r="70" spans="1:6">
      <c r="B70">
        <v>3</v>
      </c>
      <c r="C70" s="240">
        <f t="shared" si="12"/>
        <v>3.7268749999999997</v>
      </c>
      <c r="D70">
        <f>1280+850-E69</f>
        <v>430</v>
      </c>
      <c r="E70">
        <f t="shared" si="14"/>
        <v>2130</v>
      </c>
      <c r="F70" s="241">
        <f t="shared" si="13"/>
        <v>0</v>
      </c>
    </row>
    <row r="71" spans="1:6">
      <c r="F71" s="241">
        <f>SUM(F55:F70)</f>
        <v>0</v>
      </c>
    </row>
    <row r="73" spans="1:6">
      <c r="A73" t="s">
        <v>514</v>
      </c>
      <c r="B73" t="s">
        <v>495</v>
      </c>
      <c r="C73" t="s">
        <v>496</v>
      </c>
      <c r="D73" t="s">
        <v>497</v>
      </c>
      <c r="F73" t="s">
        <v>498</v>
      </c>
    </row>
    <row r="74" spans="1:6">
      <c r="B74">
        <v>-12</v>
      </c>
      <c r="C74" s="240">
        <f t="shared" ref="C74:C89" si="15">+($D$4+$D$3)/($D$4-(B74-$D$5))*$D$6</f>
        <v>2.5374468085106385</v>
      </c>
      <c r="D74">
        <f>E74</f>
        <v>20</v>
      </c>
      <c r="E74">
        <v>20</v>
      </c>
      <c r="F74" s="241">
        <f t="shared" ref="F74:F89" si="16">+$D$7/C74*D74</f>
        <v>0</v>
      </c>
    </row>
    <row r="75" spans="1:6">
      <c r="B75">
        <v>-11</v>
      </c>
      <c r="C75" s="240">
        <f t="shared" si="15"/>
        <v>2.5926086956521739</v>
      </c>
      <c r="D75">
        <f>E75-E74</f>
        <v>10</v>
      </c>
      <c r="E75">
        <v>30</v>
      </c>
      <c r="F75" s="241">
        <f>+$D$7/C75*D75</f>
        <v>0</v>
      </c>
    </row>
    <row r="76" spans="1:6">
      <c r="B76">
        <v>-10</v>
      </c>
      <c r="C76" s="240">
        <f t="shared" si="15"/>
        <v>2.6502222222222223</v>
      </c>
      <c r="D76">
        <f t="shared" ref="D76:D89" si="17">E76-E75</f>
        <v>20</v>
      </c>
      <c r="E76">
        <v>50</v>
      </c>
      <c r="F76" s="241">
        <f t="shared" si="16"/>
        <v>0</v>
      </c>
    </row>
    <row r="77" spans="1:6">
      <c r="B77">
        <v>-9</v>
      </c>
      <c r="C77" s="240">
        <f t="shared" si="15"/>
        <v>2.7104545454545454</v>
      </c>
      <c r="D77">
        <f t="shared" si="17"/>
        <v>20</v>
      </c>
      <c r="E77">
        <v>70</v>
      </c>
      <c r="F77" s="241">
        <f t="shared" si="16"/>
        <v>0</v>
      </c>
    </row>
    <row r="78" spans="1:6">
      <c r="B78">
        <v>-8</v>
      </c>
      <c r="C78" s="240">
        <f t="shared" si="15"/>
        <v>2.7734883720930235</v>
      </c>
      <c r="D78">
        <f t="shared" si="17"/>
        <v>30</v>
      </c>
      <c r="E78">
        <v>100</v>
      </c>
      <c r="F78" s="241">
        <f t="shared" si="16"/>
        <v>0</v>
      </c>
    </row>
    <row r="79" spans="1:6">
      <c r="B79">
        <v>-7</v>
      </c>
      <c r="C79" s="240">
        <f t="shared" si="15"/>
        <v>2.8395238095238096</v>
      </c>
      <c r="D79">
        <f t="shared" si="17"/>
        <v>20</v>
      </c>
      <c r="E79">
        <v>120</v>
      </c>
      <c r="F79" s="241">
        <f t="shared" si="16"/>
        <v>0</v>
      </c>
    </row>
    <row r="80" spans="1:6">
      <c r="B80">
        <v>-6</v>
      </c>
      <c r="C80" s="240">
        <f t="shared" si="15"/>
        <v>2.908780487804878</v>
      </c>
      <c r="D80">
        <f t="shared" si="17"/>
        <v>10</v>
      </c>
      <c r="E80">
        <v>130</v>
      </c>
      <c r="F80" s="241">
        <f t="shared" si="16"/>
        <v>0</v>
      </c>
    </row>
    <row r="81" spans="1:6">
      <c r="B81">
        <v>-5</v>
      </c>
      <c r="C81" s="240">
        <f t="shared" si="15"/>
        <v>2.9815</v>
      </c>
      <c r="D81">
        <f t="shared" si="17"/>
        <v>50</v>
      </c>
      <c r="E81">
        <v>180</v>
      </c>
      <c r="F81" s="241">
        <f t="shared" si="16"/>
        <v>0</v>
      </c>
    </row>
    <row r="82" spans="1:6">
      <c r="B82">
        <v>-4</v>
      </c>
      <c r="C82" s="240">
        <f t="shared" si="15"/>
        <v>3.0579487179487179</v>
      </c>
      <c r="D82">
        <f t="shared" si="17"/>
        <v>30</v>
      </c>
      <c r="E82">
        <f>130+80</f>
        <v>210</v>
      </c>
      <c r="F82" s="241">
        <f t="shared" si="16"/>
        <v>0</v>
      </c>
    </row>
    <row r="83" spans="1:6">
      <c r="B83">
        <v>-3</v>
      </c>
      <c r="C83" s="240">
        <f t="shared" si="15"/>
        <v>3.1384210526315788</v>
      </c>
      <c r="D83">
        <f t="shared" si="17"/>
        <v>90</v>
      </c>
      <c r="E83">
        <f>180+120</f>
        <v>300</v>
      </c>
      <c r="F83" s="241">
        <f t="shared" si="16"/>
        <v>0</v>
      </c>
    </row>
    <row r="84" spans="1:6">
      <c r="B84">
        <v>-2</v>
      </c>
      <c r="C84" s="240">
        <f t="shared" si="15"/>
        <v>3.2232432432432434</v>
      </c>
      <c r="D84">
        <f t="shared" si="17"/>
        <v>110</v>
      </c>
      <c r="E84">
        <f>250+160</f>
        <v>410</v>
      </c>
      <c r="F84" s="241">
        <f t="shared" si="16"/>
        <v>0</v>
      </c>
    </row>
    <row r="85" spans="1:6">
      <c r="B85">
        <v>-1</v>
      </c>
      <c r="C85" s="240">
        <f t="shared" si="15"/>
        <v>3.3127777777777774</v>
      </c>
      <c r="D85">
        <f t="shared" si="17"/>
        <v>210</v>
      </c>
      <c r="E85">
        <f>400+220</f>
        <v>620</v>
      </c>
      <c r="F85" s="241">
        <f t="shared" si="16"/>
        <v>0</v>
      </c>
    </row>
    <row r="86" spans="1:6">
      <c r="B86">
        <v>0</v>
      </c>
      <c r="C86" s="240">
        <f t="shared" si="15"/>
        <v>3.4074285714285715</v>
      </c>
      <c r="D86">
        <f t="shared" si="17"/>
        <v>190</v>
      </c>
      <c r="E86">
        <f>510+300</f>
        <v>810</v>
      </c>
      <c r="F86" s="241">
        <f t="shared" si="16"/>
        <v>0</v>
      </c>
    </row>
    <row r="87" spans="1:6">
      <c r="B87">
        <v>1</v>
      </c>
      <c r="C87" s="240">
        <f t="shared" si="15"/>
        <v>3.5076470588235291</v>
      </c>
      <c r="D87">
        <f t="shared" si="17"/>
        <v>230</v>
      </c>
      <c r="E87">
        <f>660+380</f>
        <v>1040</v>
      </c>
      <c r="F87" s="241">
        <f t="shared" si="16"/>
        <v>0</v>
      </c>
    </row>
    <row r="88" spans="1:6">
      <c r="B88">
        <v>2</v>
      </c>
      <c r="C88" s="240">
        <f t="shared" si="15"/>
        <v>3.6139393939393933</v>
      </c>
      <c r="D88">
        <f t="shared" si="17"/>
        <v>260</v>
      </c>
      <c r="E88">
        <f>770+530</f>
        <v>1300</v>
      </c>
      <c r="F88" s="241">
        <f t="shared" si="16"/>
        <v>0</v>
      </c>
    </row>
    <row r="89" spans="1:6">
      <c r="B89">
        <v>3</v>
      </c>
      <c r="C89" s="240">
        <f t="shared" si="15"/>
        <v>3.7268749999999997</v>
      </c>
      <c r="D89">
        <f t="shared" si="17"/>
        <v>540</v>
      </c>
      <c r="E89">
        <f>1120+720</f>
        <v>1840</v>
      </c>
      <c r="F89" s="241">
        <f t="shared" si="16"/>
        <v>0</v>
      </c>
    </row>
    <row r="90" spans="1:6">
      <c r="F90" s="241">
        <f>SUM(F74:F89)</f>
        <v>0</v>
      </c>
    </row>
    <row r="92" spans="1:6">
      <c r="A92" t="s">
        <v>515</v>
      </c>
      <c r="B92" t="s">
        <v>495</v>
      </c>
      <c r="C92" t="s">
        <v>496</v>
      </c>
      <c r="D92" t="s">
        <v>497</v>
      </c>
      <c r="F92" t="s">
        <v>498</v>
      </c>
    </row>
    <row r="93" spans="1:6">
      <c r="B93">
        <v>-12</v>
      </c>
      <c r="C93" s="240">
        <f t="shared" ref="C93:C108" si="18">+($D$4+$D$3)/($D$4-(B93-$D$5))*$D$6</f>
        <v>2.5374468085106385</v>
      </c>
      <c r="D93">
        <f>E93</f>
        <v>20</v>
      </c>
      <c r="E93">
        <v>20</v>
      </c>
      <c r="F93" s="241">
        <f t="shared" ref="F93" si="19">+$D$7/C93*D93</f>
        <v>0</v>
      </c>
    </row>
    <row r="94" spans="1:6">
      <c r="B94">
        <v>-11</v>
      </c>
      <c r="C94" s="240">
        <f t="shared" si="18"/>
        <v>2.5926086956521739</v>
      </c>
      <c r="D94">
        <f>E94-E93</f>
        <v>10</v>
      </c>
      <c r="E94">
        <v>30</v>
      </c>
      <c r="F94" s="241">
        <f>+$D$7/C94*D94</f>
        <v>0</v>
      </c>
    </row>
    <row r="95" spans="1:6">
      <c r="B95">
        <v>-10</v>
      </c>
      <c r="C95" s="240">
        <f t="shared" si="18"/>
        <v>2.6502222222222223</v>
      </c>
      <c r="D95">
        <f t="shared" ref="D95:D108" si="20">E95-E94</f>
        <v>20</v>
      </c>
      <c r="E95">
        <v>50</v>
      </c>
      <c r="F95" s="241">
        <f t="shared" ref="F95:F108" si="21">+$D$7/C95*D95</f>
        <v>0</v>
      </c>
    </row>
    <row r="96" spans="1:6">
      <c r="B96">
        <v>-9</v>
      </c>
      <c r="C96" s="240">
        <f t="shared" si="18"/>
        <v>2.7104545454545454</v>
      </c>
      <c r="D96">
        <f t="shared" si="20"/>
        <v>30</v>
      </c>
      <c r="E96">
        <v>80</v>
      </c>
      <c r="F96" s="241">
        <f t="shared" si="21"/>
        <v>0</v>
      </c>
    </row>
    <row r="97" spans="1:6">
      <c r="B97">
        <v>-8</v>
      </c>
      <c r="C97" s="240">
        <f t="shared" si="18"/>
        <v>2.7734883720930235</v>
      </c>
      <c r="D97">
        <f t="shared" si="20"/>
        <v>10</v>
      </c>
      <c r="E97">
        <v>90</v>
      </c>
      <c r="F97" s="241">
        <f t="shared" si="21"/>
        <v>0</v>
      </c>
    </row>
    <row r="98" spans="1:6">
      <c r="B98">
        <v>-7</v>
      </c>
      <c r="C98" s="240">
        <f t="shared" si="18"/>
        <v>2.8395238095238096</v>
      </c>
      <c r="D98">
        <f t="shared" si="20"/>
        <v>30</v>
      </c>
      <c r="E98">
        <v>120</v>
      </c>
      <c r="F98" s="241">
        <f t="shared" si="21"/>
        <v>0</v>
      </c>
    </row>
    <row r="99" spans="1:6">
      <c r="B99">
        <v>-6</v>
      </c>
      <c r="C99" s="240">
        <f t="shared" si="18"/>
        <v>2.908780487804878</v>
      </c>
      <c r="D99">
        <f t="shared" si="20"/>
        <v>30</v>
      </c>
      <c r="E99">
        <f>110+40</f>
        <v>150</v>
      </c>
      <c r="F99" s="241">
        <f t="shared" si="21"/>
        <v>0</v>
      </c>
    </row>
    <row r="100" spans="1:6">
      <c r="B100">
        <v>-5</v>
      </c>
      <c r="C100" s="240">
        <f t="shared" si="18"/>
        <v>2.9815</v>
      </c>
      <c r="D100">
        <f t="shared" si="20"/>
        <v>40</v>
      </c>
      <c r="E100">
        <f>130+60</f>
        <v>190</v>
      </c>
      <c r="F100" s="241">
        <f t="shared" si="21"/>
        <v>0</v>
      </c>
    </row>
    <row r="101" spans="1:6">
      <c r="B101">
        <v>-4</v>
      </c>
      <c r="C101" s="240">
        <f t="shared" si="18"/>
        <v>3.0579487179487179</v>
      </c>
      <c r="D101">
        <f t="shared" si="20"/>
        <v>60</v>
      </c>
      <c r="E101">
        <f>160+90</f>
        <v>250</v>
      </c>
      <c r="F101" s="241">
        <f t="shared" si="21"/>
        <v>0</v>
      </c>
    </row>
    <row r="102" spans="1:6">
      <c r="B102">
        <v>-3</v>
      </c>
      <c r="C102" s="240">
        <f t="shared" si="18"/>
        <v>3.1384210526315788</v>
      </c>
      <c r="D102">
        <f t="shared" si="20"/>
        <v>100</v>
      </c>
      <c r="E102">
        <f>230+120</f>
        <v>350</v>
      </c>
      <c r="F102" s="241">
        <f t="shared" si="21"/>
        <v>0</v>
      </c>
    </row>
    <row r="103" spans="1:6">
      <c r="B103">
        <v>-2</v>
      </c>
      <c r="C103" s="240">
        <f t="shared" si="18"/>
        <v>3.2232432432432434</v>
      </c>
      <c r="D103">
        <f t="shared" si="20"/>
        <v>150</v>
      </c>
      <c r="E103">
        <f>310+190</f>
        <v>500</v>
      </c>
      <c r="F103" s="241">
        <f t="shared" si="21"/>
        <v>0</v>
      </c>
    </row>
    <row r="104" spans="1:6">
      <c r="B104">
        <v>-1</v>
      </c>
      <c r="C104" s="240">
        <f t="shared" si="18"/>
        <v>3.3127777777777774</v>
      </c>
      <c r="D104">
        <f t="shared" si="20"/>
        <v>170</v>
      </c>
      <c r="E104">
        <f>420+250</f>
        <v>670</v>
      </c>
      <c r="F104" s="241">
        <f t="shared" si="21"/>
        <v>0</v>
      </c>
    </row>
    <row r="105" spans="1:6">
      <c r="B105">
        <v>0</v>
      </c>
      <c r="C105" s="240">
        <f t="shared" si="18"/>
        <v>3.4074285714285715</v>
      </c>
      <c r="D105">
        <f t="shared" si="20"/>
        <v>260</v>
      </c>
      <c r="E105">
        <f>580+350</f>
        <v>930</v>
      </c>
      <c r="F105" s="241">
        <f t="shared" si="21"/>
        <v>0</v>
      </c>
    </row>
    <row r="106" spans="1:6">
      <c r="B106">
        <v>1</v>
      </c>
      <c r="C106" s="240">
        <f t="shared" si="18"/>
        <v>3.5076470588235291</v>
      </c>
      <c r="D106">
        <f t="shared" si="20"/>
        <v>270</v>
      </c>
      <c r="E106">
        <f>700+500</f>
        <v>1200</v>
      </c>
      <c r="F106" s="241">
        <f t="shared" si="21"/>
        <v>0</v>
      </c>
    </row>
    <row r="107" spans="1:6">
      <c r="B107">
        <v>2</v>
      </c>
      <c r="C107" s="240">
        <f t="shared" si="18"/>
        <v>3.6139393939393933</v>
      </c>
      <c r="D107">
        <f t="shared" si="20"/>
        <v>530</v>
      </c>
      <c r="E107">
        <f>1050+680</f>
        <v>1730</v>
      </c>
      <c r="F107" s="241">
        <f t="shared" si="21"/>
        <v>0</v>
      </c>
    </row>
    <row r="108" spans="1:6">
      <c r="B108">
        <v>3</v>
      </c>
      <c r="C108" s="240">
        <f t="shared" si="18"/>
        <v>3.7268749999999997</v>
      </c>
      <c r="D108">
        <f t="shared" si="20"/>
        <v>410</v>
      </c>
      <c r="E108">
        <f>1320+820</f>
        <v>2140</v>
      </c>
      <c r="F108" s="241">
        <f t="shared" si="21"/>
        <v>0</v>
      </c>
    </row>
    <row r="109" spans="1:6">
      <c r="F109" s="241">
        <f>SUM(F93:F108)</f>
        <v>0</v>
      </c>
    </row>
    <row r="111" spans="1:6">
      <c r="A111" t="s">
        <v>516</v>
      </c>
      <c r="B111" t="s">
        <v>495</v>
      </c>
      <c r="C111" t="s">
        <v>496</v>
      </c>
      <c r="D111" t="s">
        <v>497</v>
      </c>
      <c r="F111" t="s">
        <v>498</v>
      </c>
    </row>
    <row r="112" spans="1:6">
      <c r="B112">
        <v>-18</v>
      </c>
      <c r="C112" s="240">
        <f t="shared" ref="C112:C118" si="22">+($D$4+$D$3)/($D$4-(B112-$D$5))*$D$6</f>
        <v>2.2501886792452832</v>
      </c>
      <c r="D112">
        <f>E112</f>
        <v>30</v>
      </c>
      <c r="E112">
        <v>30</v>
      </c>
      <c r="F112" s="241">
        <f t="shared" ref="F112:F118" si="23">+$D$7/C112*D112</f>
        <v>0</v>
      </c>
    </row>
    <row r="113" spans="2:6">
      <c r="B113">
        <v>-17</v>
      </c>
      <c r="C113" s="240">
        <f t="shared" si="22"/>
        <v>2.2934615384615387</v>
      </c>
      <c r="D113">
        <f t="shared" ref="D113:D118" si="24">E113-E112</f>
        <v>10</v>
      </c>
      <c r="E113">
        <v>40</v>
      </c>
      <c r="F113" s="241">
        <f t="shared" si="23"/>
        <v>0</v>
      </c>
    </row>
    <row r="114" spans="2:6">
      <c r="B114">
        <v>-16</v>
      </c>
      <c r="C114" s="240">
        <f t="shared" si="22"/>
        <v>2.3384313725490196</v>
      </c>
      <c r="D114">
        <f t="shared" si="24"/>
        <v>10</v>
      </c>
      <c r="E114">
        <v>50</v>
      </c>
      <c r="F114" s="241">
        <f t="shared" si="23"/>
        <v>0</v>
      </c>
    </row>
    <row r="115" spans="2:6">
      <c r="B115">
        <v>-15</v>
      </c>
      <c r="C115" s="240">
        <f t="shared" si="22"/>
        <v>2.3851999999999998</v>
      </c>
      <c r="D115">
        <f t="shared" si="24"/>
        <v>20</v>
      </c>
      <c r="E115">
        <v>70</v>
      </c>
      <c r="F115" s="241">
        <f t="shared" si="23"/>
        <v>0</v>
      </c>
    </row>
    <row r="116" spans="2:6">
      <c r="B116">
        <v>-14</v>
      </c>
      <c r="C116" s="240">
        <f t="shared" si="22"/>
        <v>2.4338775510204083</v>
      </c>
      <c r="D116">
        <f t="shared" si="24"/>
        <v>30</v>
      </c>
      <c r="E116">
        <v>100</v>
      </c>
      <c r="F116" s="241">
        <f t="shared" si="23"/>
        <v>0</v>
      </c>
    </row>
    <row r="117" spans="2:6">
      <c r="B117">
        <v>-13</v>
      </c>
      <c r="C117" s="240">
        <f t="shared" si="22"/>
        <v>2.4845833333333331</v>
      </c>
      <c r="D117">
        <f t="shared" si="24"/>
        <v>40</v>
      </c>
      <c r="E117">
        <v>140</v>
      </c>
      <c r="F117" s="241">
        <f t="shared" si="23"/>
        <v>0</v>
      </c>
    </row>
    <row r="118" spans="2:6">
      <c r="B118">
        <v>-12</v>
      </c>
      <c r="C118" s="240">
        <f t="shared" si="22"/>
        <v>2.5374468085106385</v>
      </c>
      <c r="D118">
        <f t="shared" si="24"/>
        <v>30</v>
      </c>
      <c r="E118">
        <v>170</v>
      </c>
      <c r="F118" s="241">
        <f t="shared" si="23"/>
        <v>0</v>
      </c>
    </row>
    <row r="119" spans="2:6">
      <c r="B119">
        <v>-11</v>
      </c>
      <c r="C119" s="240">
        <f t="shared" ref="C119:C133" si="25">+($D$4+$D$3)/($D$4-(B119-$D$5))*$D$6</f>
        <v>2.5926086956521739</v>
      </c>
      <c r="D119">
        <f>E119-E118</f>
        <v>80</v>
      </c>
      <c r="E119">
        <f>180+70</f>
        <v>250</v>
      </c>
      <c r="F119" s="241">
        <f>+$D$7/C119*D119</f>
        <v>0</v>
      </c>
    </row>
    <row r="120" spans="2:6">
      <c r="B120">
        <v>-10</v>
      </c>
      <c r="C120" s="240">
        <f t="shared" si="25"/>
        <v>2.6502222222222223</v>
      </c>
      <c r="D120">
        <f t="shared" ref="D120:D133" si="26">E120-E119</f>
        <v>70</v>
      </c>
      <c r="E120">
        <f>230+90</f>
        <v>320</v>
      </c>
      <c r="F120" s="241">
        <f t="shared" ref="F120:F133" si="27">+$D$7/C120*D120</f>
        <v>0</v>
      </c>
    </row>
    <row r="121" spans="2:6">
      <c r="B121">
        <v>-9</v>
      </c>
      <c r="C121" s="240">
        <f t="shared" si="25"/>
        <v>2.7104545454545454</v>
      </c>
      <c r="D121">
        <f t="shared" si="26"/>
        <v>130</v>
      </c>
      <c r="E121">
        <f>320+130</f>
        <v>450</v>
      </c>
      <c r="F121" s="241">
        <f t="shared" si="27"/>
        <v>0</v>
      </c>
    </row>
    <row r="122" spans="2:6">
      <c r="B122">
        <v>-8</v>
      </c>
      <c r="C122" s="240">
        <f t="shared" si="25"/>
        <v>2.7734883720930235</v>
      </c>
      <c r="D122">
        <f t="shared" si="26"/>
        <v>150</v>
      </c>
      <c r="E122">
        <f>400+200</f>
        <v>600</v>
      </c>
      <c r="F122" s="241">
        <f t="shared" si="27"/>
        <v>0</v>
      </c>
    </row>
    <row r="123" spans="2:6">
      <c r="B123">
        <v>-7</v>
      </c>
      <c r="C123" s="240">
        <f t="shared" si="25"/>
        <v>2.8395238095238096</v>
      </c>
      <c r="D123">
        <f t="shared" si="26"/>
        <v>140</v>
      </c>
      <c r="E123">
        <f>480+260</f>
        <v>740</v>
      </c>
      <c r="F123" s="241">
        <f t="shared" si="27"/>
        <v>0</v>
      </c>
    </row>
    <row r="124" spans="2:6">
      <c r="B124">
        <v>-6</v>
      </c>
      <c r="C124" s="240">
        <f t="shared" si="25"/>
        <v>2.908780487804878</v>
      </c>
      <c r="D124">
        <f t="shared" si="26"/>
        <v>230</v>
      </c>
      <c r="E124">
        <f>620+350</f>
        <v>970</v>
      </c>
      <c r="F124" s="241">
        <f t="shared" si="27"/>
        <v>0</v>
      </c>
    </row>
    <row r="125" spans="2:6">
      <c r="B125">
        <v>-5</v>
      </c>
      <c r="C125" s="240">
        <f t="shared" si="25"/>
        <v>2.9815</v>
      </c>
      <c r="D125">
        <f t="shared" si="26"/>
        <v>220</v>
      </c>
      <c r="E125">
        <f>750+440</f>
        <v>1190</v>
      </c>
      <c r="F125" s="241">
        <f t="shared" si="27"/>
        <v>0</v>
      </c>
    </row>
    <row r="126" spans="2:6">
      <c r="B126">
        <v>-4</v>
      </c>
      <c r="C126" s="240">
        <f t="shared" si="25"/>
        <v>3.0579487179487179</v>
      </c>
      <c r="D126">
        <f t="shared" si="26"/>
        <v>310</v>
      </c>
      <c r="E126">
        <f>950+550</f>
        <v>1500</v>
      </c>
      <c r="F126" s="241">
        <f t="shared" si="27"/>
        <v>0</v>
      </c>
    </row>
    <row r="127" spans="2:6">
      <c r="B127">
        <v>-3</v>
      </c>
      <c r="C127" s="240">
        <f t="shared" si="25"/>
        <v>3.1384210526315788</v>
      </c>
      <c r="D127">
        <f t="shared" si="26"/>
        <v>380</v>
      </c>
      <c r="E127">
        <f>1200+680</f>
        <v>1880</v>
      </c>
      <c r="F127" s="241">
        <f t="shared" si="27"/>
        <v>0</v>
      </c>
    </row>
    <row r="128" spans="2:6">
      <c r="B128">
        <v>-2</v>
      </c>
      <c r="C128" s="240">
        <f t="shared" si="25"/>
        <v>3.2232432432432434</v>
      </c>
      <c r="D128">
        <f t="shared" si="26"/>
        <v>320</v>
      </c>
      <c r="E128">
        <f>1400+800</f>
        <v>2200</v>
      </c>
      <c r="F128" s="241">
        <f t="shared" si="27"/>
        <v>0</v>
      </c>
    </row>
    <row r="129" spans="1:6">
      <c r="B129">
        <v>-1</v>
      </c>
      <c r="C129" s="240">
        <f t="shared" si="25"/>
        <v>3.3127777777777774</v>
      </c>
      <c r="D129">
        <f t="shared" si="26"/>
        <v>500</v>
      </c>
      <c r="E129">
        <f>1700+1000</f>
        <v>2700</v>
      </c>
      <c r="F129" s="241">
        <f t="shared" si="27"/>
        <v>0</v>
      </c>
    </row>
    <row r="130" spans="1:6">
      <c r="B130">
        <v>0</v>
      </c>
      <c r="C130" s="240">
        <f t="shared" si="25"/>
        <v>3.4074285714285715</v>
      </c>
      <c r="D130">
        <f t="shared" si="26"/>
        <v>450</v>
      </c>
      <c r="E130">
        <f>1950+1200</f>
        <v>3150</v>
      </c>
      <c r="F130" s="241">
        <f t="shared" si="27"/>
        <v>0</v>
      </c>
    </row>
    <row r="131" spans="1:6">
      <c r="B131">
        <v>1</v>
      </c>
      <c r="C131" s="240">
        <f t="shared" si="25"/>
        <v>3.5076470588235291</v>
      </c>
      <c r="D131">
        <f t="shared" si="26"/>
        <v>400</v>
      </c>
      <c r="E131">
        <f>2150+1400</f>
        <v>3550</v>
      </c>
      <c r="F131" s="241">
        <f t="shared" si="27"/>
        <v>0</v>
      </c>
    </row>
    <row r="132" spans="1:6">
      <c r="B132">
        <v>2</v>
      </c>
      <c r="C132" s="240">
        <f t="shared" si="25"/>
        <v>3.6139393939393933</v>
      </c>
      <c r="D132">
        <f t="shared" si="26"/>
        <v>400</v>
      </c>
      <c r="E132">
        <f>2350+1600</f>
        <v>3950</v>
      </c>
      <c r="F132" s="241">
        <f t="shared" si="27"/>
        <v>0</v>
      </c>
    </row>
    <row r="133" spans="1:6">
      <c r="B133">
        <v>3</v>
      </c>
      <c r="C133" s="240">
        <f t="shared" si="25"/>
        <v>3.7268749999999997</v>
      </c>
      <c r="D133">
        <f t="shared" si="26"/>
        <v>350</v>
      </c>
      <c r="E133">
        <f>2500+1800</f>
        <v>4300</v>
      </c>
      <c r="F133" s="241">
        <f t="shared" si="27"/>
        <v>0</v>
      </c>
    </row>
    <row r="134" spans="1:6">
      <c r="F134" s="241">
        <f>SUM(F112:F133)</f>
        <v>0</v>
      </c>
    </row>
    <row r="136" spans="1:6">
      <c r="A136" t="s">
        <v>517</v>
      </c>
      <c r="B136" t="s">
        <v>495</v>
      </c>
      <c r="C136" t="s">
        <v>496</v>
      </c>
      <c r="D136" t="s">
        <v>497</v>
      </c>
      <c r="F136" t="s">
        <v>498</v>
      </c>
    </row>
    <row r="137" spans="1:6">
      <c r="B137">
        <v>-18</v>
      </c>
      <c r="C137" s="240">
        <f t="shared" ref="C137:C158" si="28">+($D$4+$D$3)/($D$4-(B137-$D$5))*$D$6</f>
        <v>2.2501886792452832</v>
      </c>
      <c r="D137">
        <f>E137</f>
        <v>0</v>
      </c>
      <c r="E137">
        <v>0</v>
      </c>
      <c r="F137" s="241">
        <f t="shared" ref="F137:F143" si="29">+$D$7/C137*D137</f>
        <v>0</v>
      </c>
    </row>
    <row r="138" spans="1:6">
      <c r="B138">
        <v>-17</v>
      </c>
      <c r="C138" s="240">
        <f t="shared" si="28"/>
        <v>2.2934615384615387</v>
      </c>
      <c r="D138">
        <f t="shared" ref="D138:D143" si="30">E138-E137</f>
        <v>0</v>
      </c>
      <c r="E138">
        <v>0</v>
      </c>
      <c r="F138" s="241">
        <f t="shared" si="29"/>
        <v>0</v>
      </c>
    </row>
    <row r="139" spans="1:6">
      <c r="B139">
        <v>-16</v>
      </c>
      <c r="C139" s="240">
        <f t="shared" si="28"/>
        <v>2.3384313725490196</v>
      </c>
      <c r="D139">
        <f t="shared" si="30"/>
        <v>0</v>
      </c>
      <c r="E139">
        <v>0</v>
      </c>
      <c r="F139" s="241">
        <f t="shared" si="29"/>
        <v>0</v>
      </c>
    </row>
    <row r="140" spans="1:6">
      <c r="B140">
        <v>-15</v>
      </c>
      <c r="C140" s="240">
        <f t="shared" si="28"/>
        <v>2.3851999999999998</v>
      </c>
      <c r="D140">
        <f t="shared" si="30"/>
        <v>10</v>
      </c>
      <c r="E140">
        <v>10</v>
      </c>
      <c r="F140" s="241">
        <f t="shared" si="29"/>
        <v>0</v>
      </c>
    </row>
    <row r="141" spans="1:6">
      <c r="B141">
        <v>-14</v>
      </c>
      <c r="C141" s="240">
        <f t="shared" si="28"/>
        <v>2.4338775510204083</v>
      </c>
      <c r="D141">
        <f t="shared" si="30"/>
        <v>10</v>
      </c>
      <c r="E141">
        <v>20</v>
      </c>
      <c r="F141" s="241">
        <f t="shared" si="29"/>
        <v>0</v>
      </c>
    </row>
    <row r="142" spans="1:6">
      <c r="B142">
        <v>-13</v>
      </c>
      <c r="C142" s="240">
        <f t="shared" si="28"/>
        <v>2.4845833333333331</v>
      </c>
      <c r="D142">
        <f t="shared" si="30"/>
        <v>30</v>
      </c>
      <c r="E142">
        <v>50</v>
      </c>
      <c r="F142" s="241">
        <f t="shared" si="29"/>
        <v>0</v>
      </c>
    </row>
    <row r="143" spans="1:6">
      <c r="B143">
        <v>-12</v>
      </c>
      <c r="C143" s="240">
        <f t="shared" si="28"/>
        <v>2.5374468085106385</v>
      </c>
      <c r="D143">
        <f t="shared" si="30"/>
        <v>20</v>
      </c>
      <c r="E143">
        <v>70</v>
      </c>
      <c r="F143" s="241">
        <f t="shared" si="29"/>
        <v>0</v>
      </c>
    </row>
    <row r="144" spans="1:6">
      <c r="B144">
        <v>-11</v>
      </c>
      <c r="C144" s="240">
        <f t="shared" si="28"/>
        <v>2.5926086956521739</v>
      </c>
      <c r="D144">
        <f>E144-E143</f>
        <v>10</v>
      </c>
      <c r="E144">
        <v>80</v>
      </c>
      <c r="F144" s="241">
        <f>+$D$7/C144*D144</f>
        <v>0</v>
      </c>
    </row>
    <row r="145" spans="2:6">
      <c r="B145">
        <v>-10</v>
      </c>
      <c r="C145" s="240">
        <f t="shared" si="28"/>
        <v>2.6502222222222223</v>
      </c>
      <c r="D145">
        <f t="shared" ref="D145:D158" si="31">E145-E144</f>
        <v>40</v>
      </c>
      <c r="E145">
        <v>120</v>
      </c>
      <c r="F145" s="241">
        <f t="shared" ref="F145:F158" si="32">+$D$7/C145*D145</f>
        <v>0</v>
      </c>
    </row>
    <row r="146" spans="2:6">
      <c r="B146">
        <v>-9</v>
      </c>
      <c r="C146" s="240">
        <f t="shared" si="28"/>
        <v>2.7104545454545454</v>
      </c>
      <c r="D146">
        <f t="shared" si="31"/>
        <v>40</v>
      </c>
      <c r="E146">
        <v>160</v>
      </c>
      <c r="F146" s="241">
        <f t="shared" si="32"/>
        <v>0</v>
      </c>
    </row>
    <row r="147" spans="2:6">
      <c r="B147">
        <v>-8</v>
      </c>
      <c r="C147" s="240">
        <f t="shared" si="28"/>
        <v>2.7734883720930235</v>
      </c>
      <c r="D147">
        <f t="shared" si="31"/>
        <v>100</v>
      </c>
      <c r="E147">
        <f>180+80</f>
        <v>260</v>
      </c>
      <c r="F147" s="241">
        <f t="shared" si="32"/>
        <v>0</v>
      </c>
    </row>
    <row r="148" spans="2:6">
      <c r="B148">
        <v>-7</v>
      </c>
      <c r="C148" s="240">
        <f t="shared" si="28"/>
        <v>2.8395238095238096</v>
      </c>
      <c r="D148">
        <f t="shared" si="31"/>
        <v>90</v>
      </c>
      <c r="E148">
        <f>220+130</f>
        <v>350</v>
      </c>
      <c r="F148" s="241">
        <f t="shared" si="32"/>
        <v>0</v>
      </c>
    </row>
    <row r="149" spans="2:6">
      <c r="B149">
        <v>-6</v>
      </c>
      <c r="C149" s="240">
        <f t="shared" si="28"/>
        <v>2.908780487804878</v>
      </c>
      <c r="D149">
        <f t="shared" si="31"/>
        <v>130</v>
      </c>
      <c r="E149">
        <f>280+200</f>
        <v>480</v>
      </c>
      <c r="F149" s="241">
        <f t="shared" si="32"/>
        <v>0</v>
      </c>
    </row>
    <row r="150" spans="2:6">
      <c r="B150">
        <v>-5</v>
      </c>
      <c r="C150" s="240">
        <f t="shared" si="28"/>
        <v>2.9815</v>
      </c>
      <c r="D150">
        <f t="shared" si="31"/>
        <v>100</v>
      </c>
      <c r="E150">
        <f>330+250</f>
        <v>580</v>
      </c>
      <c r="F150" s="241">
        <f t="shared" si="32"/>
        <v>0</v>
      </c>
    </row>
    <row r="151" spans="2:6">
      <c r="B151">
        <v>-4</v>
      </c>
      <c r="C151" s="240">
        <f t="shared" si="28"/>
        <v>3.0579487179487179</v>
      </c>
      <c r="D151">
        <f t="shared" si="31"/>
        <v>190</v>
      </c>
      <c r="E151">
        <f>420+350</f>
        <v>770</v>
      </c>
      <c r="F151" s="241">
        <f t="shared" si="32"/>
        <v>0</v>
      </c>
    </row>
    <row r="152" spans="2:6">
      <c r="B152">
        <v>-3</v>
      </c>
      <c r="C152" s="240">
        <f t="shared" si="28"/>
        <v>3.1384210526315788</v>
      </c>
      <c r="D152">
        <f t="shared" si="31"/>
        <v>170</v>
      </c>
      <c r="E152">
        <f>520+420</f>
        <v>940</v>
      </c>
      <c r="F152" s="241">
        <f t="shared" si="32"/>
        <v>0</v>
      </c>
    </row>
    <row r="153" spans="2:6">
      <c r="B153">
        <v>-2</v>
      </c>
      <c r="C153" s="240">
        <f t="shared" si="28"/>
        <v>3.2232432432432434</v>
      </c>
      <c r="D153">
        <f t="shared" si="31"/>
        <v>180</v>
      </c>
      <c r="E153">
        <f>620+500</f>
        <v>1120</v>
      </c>
      <c r="F153" s="241">
        <f t="shared" si="32"/>
        <v>0</v>
      </c>
    </row>
    <row r="154" spans="2:6">
      <c r="B154">
        <v>-1</v>
      </c>
      <c r="C154" s="240">
        <f t="shared" si="28"/>
        <v>3.3127777777777774</v>
      </c>
      <c r="D154">
        <f t="shared" si="31"/>
        <v>210</v>
      </c>
      <c r="E154">
        <f>750+580</f>
        <v>1330</v>
      </c>
      <c r="F154" s="241">
        <f t="shared" si="32"/>
        <v>0</v>
      </c>
    </row>
    <row r="155" spans="2:6">
      <c r="B155">
        <v>0</v>
      </c>
      <c r="C155" s="240">
        <f t="shared" si="28"/>
        <v>3.4074285714285715</v>
      </c>
      <c r="D155">
        <f t="shared" si="31"/>
        <v>400</v>
      </c>
      <c r="E155">
        <f>1000+730</f>
        <v>1730</v>
      </c>
      <c r="F155" s="241">
        <f t="shared" si="32"/>
        <v>0</v>
      </c>
    </row>
    <row r="156" spans="2:6">
      <c r="B156">
        <v>1</v>
      </c>
      <c r="C156" s="240">
        <f t="shared" si="28"/>
        <v>3.5076470588235291</v>
      </c>
      <c r="D156">
        <f t="shared" si="31"/>
        <v>450</v>
      </c>
      <c r="E156">
        <f>1250+930</f>
        <v>2180</v>
      </c>
      <c r="F156" s="241">
        <f t="shared" si="32"/>
        <v>0</v>
      </c>
    </row>
    <row r="157" spans="2:6">
      <c r="B157">
        <v>2</v>
      </c>
      <c r="C157" s="240">
        <f t="shared" si="28"/>
        <v>3.6139393939393933</v>
      </c>
      <c r="D157">
        <f t="shared" si="31"/>
        <v>340</v>
      </c>
      <c r="E157">
        <f>1420+1100</f>
        <v>2520</v>
      </c>
      <c r="F157" s="241">
        <f t="shared" si="32"/>
        <v>0</v>
      </c>
    </row>
    <row r="158" spans="2:6">
      <c r="B158">
        <v>3</v>
      </c>
      <c r="C158" s="240">
        <f t="shared" si="28"/>
        <v>3.7268749999999997</v>
      </c>
      <c r="D158">
        <f t="shared" si="31"/>
        <v>410</v>
      </c>
      <c r="E158">
        <f>1650+1280</f>
        <v>2930</v>
      </c>
      <c r="F158" s="241">
        <f t="shared" si="32"/>
        <v>0</v>
      </c>
    </row>
    <row r="159" spans="2:6">
      <c r="F159" s="241">
        <f>SUM(F137:F158)</f>
        <v>0</v>
      </c>
    </row>
    <row r="161" spans="1:6">
      <c r="A161" t="s">
        <v>518</v>
      </c>
      <c r="B161" t="s">
        <v>495</v>
      </c>
      <c r="C161" t="s">
        <v>496</v>
      </c>
      <c r="D161" t="s">
        <v>497</v>
      </c>
      <c r="F161" t="s">
        <v>498</v>
      </c>
    </row>
    <row r="162" spans="1:6">
      <c r="B162">
        <v>-18</v>
      </c>
      <c r="C162" s="240">
        <f t="shared" ref="C162:C183" si="33">+($D$4+$D$3)/($D$4-(B162-$D$5))*$D$6</f>
        <v>2.2501886792452832</v>
      </c>
      <c r="D162">
        <f>E162</f>
        <v>0</v>
      </c>
      <c r="E162">
        <v>0</v>
      </c>
      <c r="F162" s="241">
        <f t="shared" ref="F162:F168" si="34">+$D$7/C162*D162</f>
        <v>0</v>
      </c>
    </row>
    <row r="163" spans="1:6">
      <c r="B163">
        <v>-17</v>
      </c>
      <c r="C163" s="240">
        <f t="shared" si="33"/>
        <v>2.2934615384615387</v>
      </c>
      <c r="D163">
        <f t="shared" ref="D163:D168" si="35">E163-E162</f>
        <v>0</v>
      </c>
      <c r="E163">
        <v>0</v>
      </c>
      <c r="F163" s="241">
        <f t="shared" si="34"/>
        <v>0</v>
      </c>
    </row>
    <row r="164" spans="1:6">
      <c r="B164">
        <v>-16</v>
      </c>
      <c r="C164" s="240">
        <f t="shared" si="33"/>
        <v>2.3384313725490196</v>
      </c>
      <c r="D164">
        <f t="shared" si="35"/>
        <v>0</v>
      </c>
      <c r="E164">
        <v>0</v>
      </c>
      <c r="F164" s="241">
        <f t="shared" si="34"/>
        <v>0</v>
      </c>
    </row>
    <row r="165" spans="1:6">
      <c r="B165">
        <v>-15</v>
      </c>
      <c r="C165" s="240">
        <f t="shared" si="33"/>
        <v>2.3851999999999998</v>
      </c>
      <c r="D165">
        <f t="shared" si="35"/>
        <v>0</v>
      </c>
      <c r="E165">
        <v>0</v>
      </c>
      <c r="F165" s="241">
        <f t="shared" si="34"/>
        <v>0</v>
      </c>
    </row>
    <row r="166" spans="1:6">
      <c r="B166">
        <v>-14</v>
      </c>
      <c r="C166" s="240">
        <f t="shared" si="33"/>
        <v>2.4338775510204083</v>
      </c>
      <c r="D166">
        <f t="shared" si="35"/>
        <v>0</v>
      </c>
      <c r="E166">
        <v>0</v>
      </c>
      <c r="F166" s="241">
        <f t="shared" si="34"/>
        <v>0</v>
      </c>
    </row>
    <row r="167" spans="1:6">
      <c r="B167">
        <v>-13</v>
      </c>
      <c r="C167" s="240">
        <f t="shared" si="33"/>
        <v>2.4845833333333331</v>
      </c>
      <c r="D167">
        <f t="shared" si="35"/>
        <v>0</v>
      </c>
      <c r="E167">
        <v>0</v>
      </c>
      <c r="F167" s="241">
        <f t="shared" si="34"/>
        <v>0</v>
      </c>
    </row>
    <row r="168" spans="1:6">
      <c r="B168">
        <v>-12</v>
      </c>
      <c r="C168" s="240">
        <f t="shared" si="33"/>
        <v>2.5374468085106385</v>
      </c>
      <c r="D168">
        <f t="shared" si="35"/>
        <v>0</v>
      </c>
      <c r="E168">
        <v>0</v>
      </c>
      <c r="F168" s="241">
        <f t="shared" si="34"/>
        <v>0</v>
      </c>
    </row>
    <row r="169" spans="1:6">
      <c r="B169">
        <v>-11</v>
      </c>
      <c r="C169" s="240">
        <f t="shared" si="33"/>
        <v>2.5926086956521739</v>
      </c>
      <c r="D169">
        <f>E169-E168</f>
        <v>0</v>
      </c>
      <c r="E169">
        <v>0</v>
      </c>
      <c r="F169" s="241">
        <f>+$D$7/C169*D169</f>
        <v>0</v>
      </c>
    </row>
    <row r="170" spans="1:6">
      <c r="B170">
        <v>-10</v>
      </c>
      <c r="C170" s="240">
        <f t="shared" si="33"/>
        <v>2.6502222222222223</v>
      </c>
      <c r="D170">
        <f t="shared" ref="D170:D183" si="36">E170-E169</f>
        <v>0</v>
      </c>
      <c r="E170">
        <v>0</v>
      </c>
      <c r="F170" s="241">
        <f t="shared" ref="F170:F183" si="37">+$D$7/C170*D170</f>
        <v>0</v>
      </c>
    </row>
    <row r="171" spans="1:6">
      <c r="B171">
        <v>-9</v>
      </c>
      <c r="C171" s="240">
        <f t="shared" si="33"/>
        <v>2.7104545454545454</v>
      </c>
      <c r="D171">
        <f t="shared" si="36"/>
        <v>10</v>
      </c>
      <c r="E171">
        <v>10</v>
      </c>
      <c r="F171" s="241">
        <f t="shared" si="37"/>
        <v>0</v>
      </c>
    </row>
    <row r="172" spans="1:6">
      <c r="B172">
        <v>-8</v>
      </c>
      <c r="C172" s="240">
        <f t="shared" si="33"/>
        <v>2.7734883720930235</v>
      </c>
      <c r="D172">
        <f t="shared" si="36"/>
        <v>0</v>
      </c>
      <c r="E172">
        <v>10</v>
      </c>
      <c r="F172" s="241">
        <f t="shared" si="37"/>
        <v>0</v>
      </c>
    </row>
    <row r="173" spans="1:6">
      <c r="B173">
        <v>-7</v>
      </c>
      <c r="C173" s="240">
        <f t="shared" si="33"/>
        <v>2.8395238095238096</v>
      </c>
      <c r="D173">
        <f t="shared" si="36"/>
        <v>10</v>
      </c>
      <c r="E173">
        <v>20</v>
      </c>
      <c r="F173" s="241">
        <f t="shared" si="37"/>
        <v>0</v>
      </c>
    </row>
    <row r="174" spans="1:6">
      <c r="B174">
        <v>-6</v>
      </c>
      <c r="C174" s="240">
        <f t="shared" si="33"/>
        <v>2.908780487804878</v>
      </c>
      <c r="D174">
        <f t="shared" si="36"/>
        <v>0</v>
      </c>
      <c r="E174">
        <v>20</v>
      </c>
      <c r="F174" s="241">
        <f t="shared" si="37"/>
        <v>0</v>
      </c>
    </row>
    <row r="175" spans="1:6">
      <c r="B175">
        <v>-5</v>
      </c>
      <c r="C175" s="240">
        <f t="shared" si="33"/>
        <v>2.9815</v>
      </c>
      <c r="D175">
        <f t="shared" si="36"/>
        <v>30</v>
      </c>
      <c r="E175">
        <v>50</v>
      </c>
      <c r="F175" s="241">
        <f t="shared" si="37"/>
        <v>0</v>
      </c>
    </row>
    <row r="176" spans="1:6">
      <c r="B176">
        <v>-4</v>
      </c>
      <c r="C176" s="240">
        <f t="shared" si="33"/>
        <v>3.0579487179487179</v>
      </c>
      <c r="D176">
        <f t="shared" si="36"/>
        <v>40</v>
      </c>
      <c r="E176">
        <v>90</v>
      </c>
      <c r="F176" s="241">
        <f t="shared" si="37"/>
        <v>0</v>
      </c>
    </row>
    <row r="177" spans="1:6">
      <c r="B177">
        <v>-3</v>
      </c>
      <c r="C177" s="240">
        <f t="shared" si="33"/>
        <v>3.1384210526315788</v>
      </c>
      <c r="D177">
        <f t="shared" si="36"/>
        <v>130</v>
      </c>
      <c r="E177">
        <f>160+60</f>
        <v>220</v>
      </c>
      <c r="F177" s="241">
        <f t="shared" si="37"/>
        <v>0</v>
      </c>
    </row>
    <row r="178" spans="1:6">
      <c r="B178">
        <v>-2</v>
      </c>
      <c r="C178" s="240">
        <f t="shared" si="33"/>
        <v>3.2232432432432434</v>
      </c>
      <c r="D178">
        <f t="shared" si="36"/>
        <v>150</v>
      </c>
      <c r="E178">
        <f>250+120</f>
        <v>370</v>
      </c>
      <c r="F178" s="241">
        <f t="shared" si="37"/>
        <v>0</v>
      </c>
    </row>
    <row r="179" spans="1:6">
      <c r="B179">
        <v>-1</v>
      </c>
      <c r="C179" s="240">
        <f t="shared" si="33"/>
        <v>3.3127777777777774</v>
      </c>
      <c r="D179">
        <f t="shared" si="36"/>
        <v>190</v>
      </c>
      <c r="E179">
        <f>380+180</f>
        <v>560</v>
      </c>
      <c r="F179" s="241">
        <f t="shared" si="37"/>
        <v>0</v>
      </c>
    </row>
    <row r="180" spans="1:6">
      <c r="B180">
        <v>0</v>
      </c>
      <c r="C180" s="240">
        <f t="shared" si="33"/>
        <v>3.4074285714285715</v>
      </c>
      <c r="D180">
        <f t="shared" si="36"/>
        <v>190</v>
      </c>
      <c r="E180">
        <f>500+250</f>
        <v>750</v>
      </c>
      <c r="F180" s="241">
        <f t="shared" si="37"/>
        <v>0</v>
      </c>
    </row>
    <row r="181" spans="1:6">
      <c r="B181">
        <v>1</v>
      </c>
      <c r="C181" s="240">
        <f t="shared" si="33"/>
        <v>3.5076470588235291</v>
      </c>
      <c r="D181">
        <f t="shared" si="36"/>
        <v>240</v>
      </c>
      <c r="E181">
        <f>650+340</f>
        <v>990</v>
      </c>
      <c r="F181" s="241">
        <f t="shared" si="37"/>
        <v>0</v>
      </c>
    </row>
    <row r="182" spans="1:6">
      <c r="B182">
        <v>2</v>
      </c>
      <c r="C182" s="240">
        <f t="shared" si="33"/>
        <v>3.6139393939393933</v>
      </c>
      <c r="D182">
        <f t="shared" si="36"/>
        <v>280</v>
      </c>
      <c r="E182">
        <f>820+450</f>
        <v>1270</v>
      </c>
      <c r="F182" s="241">
        <f t="shared" si="37"/>
        <v>0</v>
      </c>
    </row>
    <row r="183" spans="1:6">
      <c r="B183">
        <v>3</v>
      </c>
      <c r="C183" s="240">
        <f t="shared" si="33"/>
        <v>3.7268749999999997</v>
      </c>
      <c r="D183">
        <f t="shared" si="36"/>
        <v>330</v>
      </c>
      <c r="E183">
        <f>1000+600</f>
        <v>1600</v>
      </c>
      <c r="F183" s="241">
        <f t="shared" si="37"/>
        <v>0</v>
      </c>
    </row>
    <row r="184" spans="1:6">
      <c r="F184" s="241">
        <f>SUM(F162:F183)</f>
        <v>0</v>
      </c>
    </row>
    <row r="186" spans="1:6">
      <c r="A186" t="s">
        <v>519</v>
      </c>
      <c r="B186" t="s">
        <v>495</v>
      </c>
      <c r="C186" t="s">
        <v>496</v>
      </c>
      <c r="D186" t="s">
        <v>497</v>
      </c>
      <c r="F186" t="s">
        <v>498</v>
      </c>
    </row>
    <row r="187" spans="1:6">
      <c r="B187">
        <v>-18</v>
      </c>
      <c r="C187" s="240">
        <f t="shared" ref="C187:C208" si="38">+($D$4+$D$3)/($D$4-(B187-$D$5))*$D$6</f>
        <v>2.2501886792452832</v>
      </c>
      <c r="D187">
        <f>E187</f>
        <v>0</v>
      </c>
      <c r="E187">
        <v>0</v>
      </c>
      <c r="F187" s="241">
        <f t="shared" ref="F187:F193" si="39">+$D$7/C187*D187</f>
        <v>0</v>
      </c>
    </row>
    <row r="188" spans="1:6">
      <c r="B188">
        <v>-17</v>
      </c>
      <c r="C188" s="240">
        <f t="shared" si="38"/>
        <v>2.2934615384615387</v>
      </c>
      <c r="D188">
        <f t="shared" ref="D188:D193" si="40">E188-E187</f>
        <v>0</v>
      </c>
      <c r="E188">
        <v>0</v>
      </c>
      <c r="F188" s="241">
        <f t="shared" si="39"/>
        <v>0</v>
      </c>
    </row>
    <row r="189" spans="1:6">
      <c r="B189">
        <v>-16</v>
      </c>
      <c r="C189" s="240">
        <f t="shared" si="38"/>
        <v>2.3384313725490196</v>
      </c>
      <c r="D189">
        <f t="shared" si="40"/>
        <v>0</v>
      </c>
      <c r="E189">
        <v>0</v>
      </c>
      <c r="F189" s="241">
        <f t="shared" si="39"/>
        <v>0</v>
      </c>
    </row>
    <row r="190" spans="1:6">
      <c r="B190">
        <v>-15</v>
      </c>
      <c r="C190" s="240">
        <f t="shared" si="38"/>
        <v>2.3851999999999998</v>
      </c>
      <c r="D190">
        <f t="shared" si="40"/>
        <v>0</v>
      </c>
      <c r="E190">
        <v>0</v>
      </c>
      <c r="F190" s="241">
        <f t="shared" si="39"/>
        <v>0</v>
      </c>
    </row>
    <row r="191" spans="1:6">
      <c r="B191">
        <v>-14</v>
      </c>
      <c r="C191" s="240">
        <f t="shared" si="38"/>
        <v>2.4338775510204083</v>
      </c>
      <c r="D191">
        <f t="shared" si="40"/>
        <v>0</v>
      </c>
      <c r="E191">
        <v>0</v>
      </c>
      <c r="F191" s="241">
        <f t="shared" si="39"/>
        <v>0</v>
      </c>
    </row>
    <row r="192" spans="1:6">
      <c r="B192">
        <v>-13</v>
      </c>
      <c r="C192" s="240">
        <f t="shared" si="38"/>
        <v>2.4845833333333331</v>
      </c>
      <c r="D192">
        <f t="shared" si="40"/>
        <v>10</v>
      </c>
      <c r="E192">
        <v>10</v>
      </c>
      <c r="F192" s="241">
        <f t="shared" si="39"/>
        <v>0</v>
      </c>
    </row>
    <row r="193" spans="2:6">
      <c r="B193">
        <v>-12</v>
      </c>
      <c r="C193" s="240">
        <f t="shared" si="38"/>
        <v>2.5374468085106385</v>
      </c>
      <c r="D193">
        <f t="shared" si="40"/>
        <v>10</v>
      </c>
      <c r="E193">
        <v>20</v>
      </c>
      <c r="F193" s="241">
        <f t="shared" si="39"/>
        <v>0</v>
      </c>
    </row>
    <row r="194" spans="2:6">
      <c r="B194">
        <v>-11</v>
      </c>
      <c r="C194" s="240">
        <f t="shared" si="38"/>
        <v>2.5926086956521739</v>
      </c>
      <c r="D194">
        <f>E194-E193</f>
        <v>10</v>
      </c>
      <c r="E194">
        <v>30</v>
      </c>
      <c r="F194" s="241">
        <f>+$D$7/C194*D194</f>
        <v>0</v>
      </c>
    </row>
    <row r="195" spans="2:6">
      <c r="B195">
        <v>-10</v>
      </c>
      <c r="C195" s="240">
        <f t="shared" si="38"/>
        <v>2.6502222222222223</v>
      </c>
      <c r="D195">
        <f t="shared" ref="D195:D208" si="41">E195-E194</f>
        <v>20</v>
      </c>
      <c r="E195">
        <v>50</v>
      </c>
      <c r="F195" s="241">
        <f t="shared" ref="F195:F208" si="42">+$D$7/C195*D195</f>
        <v>0</v>
      </c>
    </row>
    <row r="196" spans="2:6">
      <c r="B196">
        <v>-9</v>
      </c>
      <c r="C196" s="240">
        <f t="shared" si="38"/>
        <v>2.7104545454545454</v>
      </c>
      <c r="D196">
        <f t="shared" si="41"/>
        <v>20</v>
      </c>
      <c r="E196">
        <v>70</v>
      </c>
      <c r="F196" s="241">
        <f t="shared" si="42"/>
        <v>0</v>
      </c>
    </row>
    <row r="197" spans="2:6">
      <c r="B197">
        <v>-8</v>
      </c>
      <c r="C197" s="240">
        <f t="shared" si="38"/>
        <v>2.7734883720930235</v>
      </c>
      <c r="D197">
        <f t="shared" si="41"/>
        <v>10</v>
      </c>
      <c r="E197">
        <v>80</v>
      </c>
      <c r="F197" s="241">
        <f t="shared" si="42"/>
        <v>0</v>
      </c>
    </row>
    <row r="198" spans="2:6">
      <c r="B198">
        <v>-7</v>
      </c>
      <c r="C198" s="240">
        <f t="shared" si="38"/>
        <v>2.8395238095238096</v>
      </c>
      <c r="D198">
        <f t="shared" si="41"/>
        <v>40</v>
      </c>
      <c r="E198">
        <v>120</v>
      </c>
      <c r="F198" s="241">
        <f t="shared" si="42"/>
        <v>0</v>
      </c>
    </row>
    <row r="199" spans="2:6">
      <c r="B199">
        <v>-6</v>
      </c>
      <c r="C199" s="240">
        <f t="shared" si="38"/>
        <v>2.908780487804878</v>
      </c>
      <c r="D199">
        <f t="shared" si="41"/>
        <v>40</v>
      </c>
      <c r="E199">
        <v>160</v>
      </c>
      <c r="F199" s="241">
        <f t="shared" si="42"/>
        <v>0</v>
      </c>
    </row>
    <row r="200" spans="2:6">
      <c r="B200">
        <v>-5</v>
      </c>
      <c r="C200" s="240">
        <f t="shared" si="38"/>
        <v>2.9815</v>
      </c>
      <c r="D200">
        <f t="shared" si="41"/>
        <v>60</v>
      </c>
      <c r="E200">
        <v>220</v>
      </c>
      <c r="F200" s="241">
        <f t="shared" si="42"/>
        <v>0</v>
      </c>
    </row>
    <row r="201" spans="2:6">
      <c r="B201">
        <v>-4</v>
      </c>
      <c r="C201" s="240">
        <f t="shared" si="38"/>
        <v>3.0579487179487179</v>
      </c>
      <c r="D201">
        <f t="shared" si="41"/>
        <v>120</v>
      </c>
      <c r="E201">
        <v>340</v>
      </c>
      <c r="F201" s="241">
        <f t="shared" si="42"/>
        <v>0</v>
      </c>
    </row>
    <row r="202" spans="2:6">
      <c r="B202">
        <v>-3</v>
      </c>
      <c r="C202" s="240">
        <f t="shared" si="38"/>
        <v>3.1384210526315788</v>
      </c>
      <c r="D202">
        <f t="shared" si="41"/>
        <v>140</v>
      </c>
      <c r="E202">
        <f>320+160</f>
        <v>480</v>
      </c>
      <c r="F202" s="241">
        <f t="shared" si="42"/>
        <v>0</v>
      </c>
    </row>
    <row r="203" spans="2:6">
      <c r="B203">
        <v>-2</v>
      </c>
      <c r="C203" s="240">
        <f t="shared" si="38"/>
        <v>3.2232432432432434</v>
      </c>
      <c r="D203">
        <f t="shared" si="41"/>
        <v>170</v>
      </c>
      <c r="E203">
        <f>420+230</f>
        <v>650</v>
      </c>
      <c r="F203" s="241">
        <f t="shared" si="42"/>
        <v>0</v>
      </c>
    </row>
    <row r="204" spans="2:6">
      <c r="B204">
        <v>-1</v>
      </c>
      <c r="C204" s="240">
        <f t="shared" si="38"/>
        <v>3.3127777777777774</v>
      </c>
      <c r="D204">
        <f t="shared" si="41"/>
        <v>170</v>
      </c>
      <c r="E204">
        <f>510+310</f>
        <v>820</v>
      </c>
      <c r="F204" s="241">
        <f t="shared" si="42"/>
        <v>0</v>
      </c>
    </row>
    <row r="205" spans="2:6">
      <c r="B205">
        <v>0</v>
      </c>
      <c r="C205" s="240">
        <f t="shared" si="38"/>
        <v>3.4074285714285715</v>
      </c>
      <c r="D205">
        <f t="shared" si="41"/>
        <v>280</v>
      </c>
      <c r="E205">
        <f>650+450</f>
        <v>1100</v>
      </c>
      <c r="F205" s="241">
        <f t="shared" si="42"/>
        <v>0</v>
      </c>
    </row>
    <row r="206" spans="2:6">
      <c r="B206">
        <v>1</v>
      </c>
      <c r="C206" s="240">
        <f t="shared" si="38"/>
        <v>3.5076470588235291</v>
      </c>
      <c r="D206">
        <f t="shared" si="41"/>
        <v>400</v>
      </c>
      <c r="E206">
        <f>850+650</f>
        <v>1500</v>
      </c>
      <c r="F206" s="241">
        <f t="shared" si="42"/>
        <v>0</v>
      </c>
    </row>
    <row r="207" spans="2:6">
      <c r="B207">
        <v>2</v>
      </c>
      <c r="C207" s="240">
        <f t="shared" si="38"/>
        <v>3.6139393939393933</v>
      </c>
      <c r="D207">
        <f t="shared" si="41"/>
        <v>430</v>
      </c>
      <c r="E207">
        <f>1080+850</f>
        <v>1930</v>
      </c>
      <c r="F207" s="241">
        <f t="shared" si="42"/>
        <v>0</v>
      </c>
    </row>
    <row r="208" spans="2:6">
      <c r="B208">
        <v>3</v>
      </c>
      <c r="C208" s="240">
        <f t="shared" si="38"/>
        <v>3.7268749999999997</v>
      </c>
      <c r="D208">
        <f t="shared" si="41"/>
        <v>390</v>
      </c>
      <c r="E208">
        <f>1300+1020</f>
        <v>2320</v>
      </c>
      <c r="F208" s="241">
        <f t="shared" si="42"/>
        <v>0</v>
      </c>
    </row>
    <row r="209" spans="1:6">
      <c r="F209" s="241">
        <f>SUM(F187:F208)</f>
        <v>0</v>
      </c>
    </row>
    <row r="211" spans="1:6">
      <c r="A211" t="s">
        <v>520</v>
      </c>
      <c r="B211" t="s">
        <v>495</v>
      </c>
      <c r="C211" t="s">
        <v>496</v>
      </c>
      <c r="D211" t="s">
        <v>497</v>
      </c>
      <c r="F211" t="s">
        <v>498</v>
      </c>
    </row>
    <row r="212" spans="1:6">
      <c r="B212">
        <v>-18</v>
      </c>
      <c r="C212" s="240">
        <f t="shared" ref="C212:C233" si="43">+($D$4+$D$3)/($D$4-(B212-$D$5))*$D$6</f>
        <v>2.2501886792452832</v>
      </c>
      <c r="D212">
        <f>E212</f>
        <v>0</v>
      </c>
      <c r="E212">
        <v>0</v>
      </c>
      <c r="F212" s="241">
        <f t="shared" ref="F212:F218" si="44">+$D$7/C212*D212</f>
        <v>0</v>
      </c>
    </row>
    <row r="213" spans="1:6">
      <c r="B213">
        <v>-17</v>
      </c>
      <c r="C213" s="240">
        <f t="shared" si="43"/>
        <v>2.2934615384615387</v>
      </c>
      <c r="D213">
        <f t="shared" ref="D213:D218" si="45">E213-E212</f>
        <v>0</v>
      </c>
      <c r="E213">
        <v>0</v>
      </c>
      <c r="F213" s="241">
        <f t="shared" si="44"/>
        <v>0</v>
      </c>
    </row>
    <row r="214" spans="1:6">
      <c r="B214">
        <v>-16</v>
      </c>
      <c r="C214" s="240">
        <f t="shared" si="43"/>
        <v>2.3384313725490196</v>
      </c>
      <c r="D214">
        <f t="shared" si="45"/>
        <v>0</v>
      </c>
      <c r="E214">
        <v>0</v>
      </c>
      <c r="F214" s="241">
        <f t="shared" si="44"/>
        <v>0</v>
      </c>
    </row>
    <row r="215" spans="1:6">
      <c r="B215">
        <v>-15</v>
      </c>
      <c r="C215" s="240">
        <f t="shared" si="43"/>
        <v>2.3851999999999998</v>
      </c>
      <c r="D215">
        <f t="shared" si="45"/>
        <v>20</v>
      </c>
      <c r="E215">
        <v>20</v>
      </c>
      <c r="F215" s="241">
        <f t="shared" si="44"/>
        <v>0</v>
      </c>
    </row>
    <row r="216" spans="1:6">
      <c r="B216">
        <v>-14</v>
      </c>
      <c r="C216" s="240">
        <f t="shared" si="43"/>
        <v>2.4338775510204083</v>
      </c>
      <c r="D216">
        <f t="shared" si="45"/>
        <v>10</v>
      </c>
      <c r="E216">
        <v>30</v>
      </c>
      <c r="F216" s="241">
        <f t="shared" si="44"/>
        <v>0</v>
      </c>
    </row>
    <row r="217" spans="1:6">
      <c r="B217">
        <v>-13</v>
      </c>
      <c r="C217" s="240">
        <f t="shared" si="43"/>
        <v>2.4845833333333331</v>
      </c>
      <c r="D217">
        <f t="shared" si="45"/>
        <v>20</v>
      </c>
      <c r="E217">
        <v>50</v>
      </c>
      <c r="F217" s="241">
        <f t="shared" si="44"/>
        <v>0</v>
      </c>
    </row>
    <row r="218" spans="1:6">
      <c r="B218">
        <v>-12</v>
      </c>
      <c r="C218" s="240">
        <f t="shared" si="43"/>
        <v>2.5374468085106385</v>
      </c>
      <c r="D218">
        <f t="shared" si="45"/>
        <v>20</v>
      </c>
      <c r="E218">
        <v>70</v>
      </c>
      <c r="F218" s="241">
        <f t="shared" si="44"/>
        <v>0</v>
      </c>
    </row>
    <row r="219" spans="1:6">
      <c r="B219">
        <v>-11</v>
      </c>
      <c r="C219" s="240">
        <f t="shared" si="43"/>
        <v>2.5926086956521739</v>
      </c>
      <c r="D219">
        <f>E219-E218</f>
        <v>30</v>
      </c>
      <c r="E219">
        <v>100</v>
      </c>
      <c r="F219" s="241">
        <f>+$D$7/C219*D219</f>
        <v>0</v>
      </c>
    </row>
    <row r="220" spans="1:6">
      <c r="B220">
        <v>-10</v>
      </c>
      <c r="C220" s="240">
        <f t="shared" si="43"/>
        <v>2.6502222222222223</v>
      </c>
      <c r="D220">
        <f t="shared" ref="D220:D233" si="46">E220-E219</f>
        <v>40</v>
      </c>
      <c r="E220">
        <v>140</v>
      </c>
      <c r="F220" s="241">
        <f t="shared" ref="F220:F233" si="47">+$D$7/C220*D220</f>
        <v>0</v>
      </c>
    </row>
    <row r="221" spans="1:6">
      <c r="B221">
        <v>-9</v>
      </c>
      <c r="C221" s="240">
        <f t="shared" si="43"/>
        <v>2.7104545454545454</v>
      </c>
      <c r="D221">
        <f t="shared" si="46"/>
        <v>30</v>
      </c>
      <c r="E221">
        <v>170</v>
      </c>
      <c r="F221" s="241">
        <f t="shared" si="47"/>
        <v>0</v>
      </c>
    </row>
    <row r="222" spans="1:6">
      <c r="B222">
        <v>-8</v>
      </c>
      <c r="C222" s="240">
        <f t="shared" si="43"/>
        <v>2.7734883720930235</v>
      </c>
      <c r="D222">
        <f t="shared" si="46"/>
        <v>50</v>
      </c>
      <c r="E222">
        <f>140+80</f>
        <v>220</v>
      </c>
      <c r="F222" s="241">
        <f t="shared" si="47"/>
        <v>0</v>
      </c>
    </row>
    <row r="223" spans="1:6">
      <c r="B223">
        <v>-7</v>
      </c>
      <c r="C223" s="240">
        <f t="shared" si="43"/>
        <v>2.8395238095238096</v>
      </c>
      <c r="D223">
        <f t="shared" si="46"/>
        <v>80</v>
      </c>
      <c r="E223">
        <f>180+120</f>
        <v>300</v>
      </c>
      <c r="F223" s="241">
        <f t="shared" si="47"/>
        <v>0</v>
      </c>
    </row>
    <row r="224" spans="1:6">
      <c r="B224">
        <v>-6</v>
      </c>
      <c r="C224" s="240">
        <f t="shared" si="43"/>
        <v>2.908780487804878</v>
      </c>
      <c r="D224">
        <f t="shared" si="46"/>
        <v>110</v>
      </c>
      <c r="E224">
        <f>160+250</f>
        <v>410</v>
      </c>
      <c r="F224" s="241">
        <f t="shared" si="47"/>
        <v>0</v>
      </c>
    </row>
    <row r="225" spans="1:6">
      <c r="B225">
        <v>-5</v>
      </c>
      <c r="C225" s="240">
        <f t="shared" si="43"/>
        <v>2.9815</v>
      </c>
      <c r="D225">
        <f t="shared" si="46"/>
        <v>110</v>
      </c>
      <c r="E225">
        <f>320+200</f>
        <v>520</v>
      </c>
      <c r="F225" s="241">
        <f t="shared" si="47"/>
        <v>0</v>
      </c>
    </row>
    <row r="226" spans="1:6">
      <c r="B226">
        <v>-4</v>
      </c>
      <c r="C226" s="240">
        <f t="shared" si="43"/>
        <v>3.0579487179487179</v>
      </c>
      <c r="D226">
        <f t="shared" si="46"/>
        <v>110</v>
      </c>
      <c r="E226">
        <f>250+380</f>
        <v>630</v>
      </c>
      <c r="F226" s="241">
        <f t="shared" si="47"/>
        <v>0</v>
      </c>
    </row>
    <row r="227" spans="1:6">
      <c r="B227">
        <v>-3</v>
      </c>
      <c r="C227" s="240">
        <f t="shared" si="43"/>
        <v>3.1384210526315788</v>
      </c>
      <c r="D227">
        <f t="shared" si="46"/>
        <v>190</v>
      </c>
      <c r="E227">
        <f>500+320</f>
        <v>820</v>
      </c>
      <c r="F227" s="241">
        <f t="shared" si="47"/>
        <v>0</v>
      </c>
    </row>
    <row r="228" spans="1:6">
      <c r="B228">
        <v>-2</v>
      </c>
      <c r="C228" s="240">
        <f t="shared" si="43"/>
        <v>3.2232432432432434</v>
      </c>
      <c r="D228">
        <f t="shared" si="46"/>
        <v>210</v>
      </c>
      <c r="E228">
        <f>630+400</f>
        <v>1030</v>
      </c>
      <c r="F228" s="241">
        <f t="shared" si="47"/>
        <v>0</v>
      </c>
    </row>
    <row r="229" spans="1:6">
      <c r="B229">
        <v>-1</v>
      </c>
      <c r="C229" s="240">
        <f t="shared" si="43"/>
        <v>3.3127777777777774</v>
      </c>
      <c r="D229">
        <f t="shared" si="46"/>
        <v>190</v>
      </c>
      <c r="E229">
        <f>720+500</f>
        <v>1220</v>
      </c>
      <c r="F229" s="241">
        <f t="shared" si="47"/>
        <v>0</v>
      </c>
    </row>
    <row r="230" spans="1:6">
      <c r="B230">
        <v>0</v>
      </c>
      <c r="C230" s="240">
        <f t="shared" si="43"/>
        <v>3.4074285714285715</v>
      </c>
      <c r="D230">
        <f t="shared" si="46"/>
        <v>430</v>
      </c>
      <c r="E230">
        <f>1000+650</f>
        <v>1650</v>
      </c>
      <c r="F230" s="241">
        <f t="shared" si="47"/>
        <v>0</v>
      </c>
    </row>
    <row r="231" spans="1:6">
      <c r="B231">
        <v>1</v>
      </c>
      <c r="C231" s="240">
        <f t="shared" si="43"/>
        <v>3.5076470588235291</v>
      </c>
      <c r="D231">
        <f t="shared" si="46"/>
        <v>400</v>
      </c>
      <c r="E231">
        <f>1250+800</f>
        <v>2050</v>
      </c>
      <c r="F231" s="241">
        <f t="shared" si="47"/>
        <v>0</v>
      </c>
    </row>
    <row r="232" spans="1:6">
      <c r="B232">
        <v>2</v>
      </c>
      <c r="C232" s="240">
        <f t="shared" si="43"/>
        <v>3.6139393939393933</v>
      </c>
      <c r="D232">
        <f t="shared" si="46"/>
        <v>450</v>
      </c>
      <c r="E232">
        <f>1500+1000</f>
        <v>2500</v>
      </c>
      <c r="F232" s="241">
        <f t="shared" si="47"/>
        <v>0</v>
      </c>
    </row>
    <row r="233" spans="1:6">
      <c r="B233">
        <v>3</v>
      </c>
      <c r="C233" s="240">
        <f t="shared" si="43"/>
        <v>3.7268749999999997</v>
      </c>
      <c r="D233">
        <f t="shared" si="46"/>
        <v>450</v>
      </c>
      <c r="E233">
        <f>1750+1200</f>
        <v>2950</v>
      </c>
      <c r="F233" s="241">
        <f t="shared" si="47"/>
        <v>0</v>
      </c>
    </row>
    <row r="234" spans="1:6">
      <c r="F234" s="241">
        <f>SUM(F212:F233)</f>
        <v>0</v>
      </c>
    </row>
    <row r="236" spans="1:6">
      <c r="A236" t="s">
        <v>521</v>
      </c>
      <c r="B236" t="s">
        <v>495</v>
      </c>
      <c r="C236" t="s">
        <v>496</v>
      </c>
      <c r="D236" t="s">
        <v>497</v>
      </c>
      <c r="F236" t="s">
        <v>498</v>
      </c>
    </row>
    <row r="237" spans="1:6">
      <c r="B237">
        <v>-18</v>
      </c>
      <c r="C237" s="240">
        <f t="shared" ref="C237:C258" si="48">+($D$4+$D$3)/($D$4-(B237-$D$5))*$D$6</f>
        <v>2.2501886792452832</v>
      </c>
      <c r="D237">
        <f>E237</f>
        <v>0</v>
      </c>
      <c r="E237">
        <v>0</v>
      </c>
      <c r="F237" s="241">
        <f t="shared" ref="F237:F243" si="49">+$D$7/C237*D237</f>
        <v>0</v>
      </c>
    </row>
    <row r="238" spans="1:6">
      <c r="B238">
        <v>-17</v>
      </c>
      <c r="C238" s="240">
        <f t="shared" si="48"/>
        <v>2.2934615384615387</v>
      </c>
      <c r="D238">
        <f t="shared" ref="D238:D243" si="50">E238-E237</f>
        <v>0</v>
      </c>
      <c r="E238">
        <v>0</v>
      </c>
      <c r="F238" s="241">
        <f t="shared" si="49"/>
        <v>0</v>
      </c>
    </row>
    <row r="239" spans="1:6">
      <c r="B239">
        <v>-16</v>
      </c>
      <c r="C239" s="240">
        <f t="shared" si="48"/>
        <v>2.3384313725490196</v>
      </c>
      <c r="D239">
        <f t="shared" si="50"/>
        <v>0</v>
      </c>
      <c r="E239">
        <v>0</v>
      </c>
      <c r="F239" s="241">
        <f t="shared" si="49"/>
        <v>0</v>
      </c>
    </row>
    <row r="240" spans="1:6">
      <c r="B240">
        <v>-15</v>
      </c>
      <c r="C240" s="240">
        <f t="shared" si="48"/>
        <v>2.3851999999999998</v>
      </c>
      <c r="D240">
        <f t="shared" si="50"/>
        <v>0</v>
      </c>
      <c r="E240">
        <v>0</v>
      </c>
      <c r="F240" s="241">
        <f t="shared" si="49"/>
        <v>0</v>
      </c>
    </row>
    <row r="241" spans="2:6">
      <c r="B241">
        <v>-14</v>
      </c>
      <c r="C241" s="240">
        <f t="shared" si="48"/>
        <v>2.4338775510204083</v>
      </c>
      <c r="D241">
        <f t="shared" si="50"/>
        <v>0</v>
      </c>
      <c r="E241">
        <v>0</v>
      </c>
      <c r="F241" s="241">
        <f t="shared" si="49"/>
        <v>0</v>
      </c>
    </row>
    <row r="242" spans="2:6">
      <c r="B242">
        <v>-13</v>
      </c>
      <c r="C242" s="240">
        <f t="shared" si="48"/>
        <v>2.4845833333333331</v>
      </c>
      <c r="D242">
        <f t="shared" si="50"/>
        <v>0</v>
      </c>
      <c r="E242">
        <v>0</v>
      </c>
      <c r="F242" s="241">
        <f t="shared" si="49"/>
        <v>0</v>
      </c>
    </row>
    <row r="243" spans="2:6">
      <c r="B243">
        <v>-12</v>
      </c>
      <c r="C243" s="240">
        <f t="shared" si="48"/>
        <v>2.5374468085106385</v>
      </c>
      <c r="D243">
        <f t="shared" si="50"/>
        <v>0</v>
      </c>
      <c r="E243">
        <v>0</v>
      </c>
      <c r="F243" s="241">
        <f t="shared" si="49"/>
        <v>0</v>
      </c>
    </row>
    <row r="244" spans="2:6">
      <c r="B244">
        <v>-11</v>
      </c>
      <c r="C244" s="240">
        <f t="shared" si="48"/>
        <v>2.5926086956521739</v>
      </c>
      <c r="D244">
        <f>E244-E243</f>
        <v>0</v>
      </c>
      <c r="E244">
        <v>0</v>
      </c>
      <c r="F244" s="241">
        <f>+$D$7/C244*D244</f>
        <v>0</v>
      </c>
    </row>
    <row r="245" spans="2:6">
      <c r="B245">
        <v>-10</v>
      </c>
      <c r="C245" s="240">
        <f t="shared" si="48"/>
        <v>2.6502222222222223</v>
      </c>
      <c r="D245">
        <f t="shared" ref="D245:D258" si="51">E245-E244</f>
        <v>0</v>
      </c>
      <c r="E245">
        <v>0</v>
      </c>
      <c r="F245" s="241">
        <f t="shared" ref="F245:F258" si="52">+$D$7/C245*D245</f>
        <v>0</v>
      </c>
    </row>
    <row r="246" spans="2:6">
      <c r="B246">
        <v>-9</v>
      </c>
      <c r="C246" s="240">
        <f t="shared" si="48"/>
        <v>2.7104545454545454</v>
      </c>
      <c r="D246">
        <f t="shared" si="51"/>
        <v>0</v>
      </c>
      <c r="E246">
        <v>0</v>
      </c>
      <c r="F246" s="241">
        <f t="shared" si="52"/>
        <v>0</v>
      </c>
    </row>
    <row r="247" spans="2:6">
      <c r="B247">
        <v>-8</v>
      </c>
      <c r="C247" s="240">
        <f t="shared" si="48"/>
        <v>2.7734883720930235</v>
      </c>
      <c r="D247">
        <f t="shared" si="51"/>
        <v>0</v>
      </c>
      <c r="E247">
        <v>0</v>
      </c>
      <c r="F247" s="241">
        <f t="shared" si="52"/>
        <v>0</v>
      </c>
    </row>
    <row r="248" spans="2:6">
      <c r="B248">
        <v>-7</v>
      </c>
      <c r="C248" s="240">
        <f t="shared" si="48"/>
        <v>2.8395238095238096</v>
      </c>
      <c r="D248">
        <f t="shared" si="51"/>
        <v>0</v>
      </c>
      <c r="E248">
        <v>0</v>
      </c>
      <c r="F248" s="241">
        <f t="shared" si="52"/>
        <v>0</v>
      </c>
    </row>
    <row r="249" spans="2:6">
      <c r="B249">
        <v>-6</v>
      </c>
      <c r="C249" s="240">
        <f t="shared" si="48"/>
        <v>2.908780487804878</v>
      </c>
      <c r="D249">
        <f t="shared" si="51"/>
        <v>0</v>
      </c>
      <c r="E249">
        <v>0</v>
      </c>
      <c r="F249" s="241">
        <f t="shared" si="52"/>
        <v>0</v>
      </c>
    </row>
    <row r="250" spans="2:6">
      <c r="B250">
        <v>-5</v>
      </c>
      <c r="C250" s="240">
        <f t="shared" si="48"/>
        <v>2.9815</v>
      </c>
      <c r="D250">
        <f t="shared" si="51"/>
        <v>0</v>
      </c>
      <c r="E250">
        <v>0</v>
      </c>
      <c r="F250" s="241">
        <f t="shared" si="52"/>
        <v>0</v>
      </c>
    </row>
    <row r="251" spans="2:6">
      <c r="B251">
        <v>-4</v>
      </c>
      <c r="C251" s="240">
        <f t="shared" si="48"/>
        <v>3.0579487179487179</v>
      </c>
      <c r="D251">
        <f t="shared" si="51"/>
        <v>0</v>
      </c>
      <c r="E251">
        <v>0</v>
      </c>
      <c r="F251" s="241">
        <f t="shared" si="52"/>
        <v>0</v>
      </c>
    </row>
    <row r="252" spans="2:6">
      <c r="B252">
        <v>-3</v>
      </c>
      <c r="C252" s="240">
        <f t="shared" si="48"/>
        <v>3.1384210526315788</v>
      </c>
      <c r="D252">
        <f t="shared" si="51"/>
        <v>20</v>
      </c>
      <c r="E252">
        <v>20</v>
      </c>
      <c r="F252" s="241">
        <f t="shared" si="52"/>
        <v>0</v>
      </c>
    </row>
    <row r="253" spans="2:6">
      <c r="B253">
        <v>-2</v>
      </c>
      <c r="C253" s="240">
        <f t="shared" si="48"/>
        <v>3.2232432432432434</v>
      </c>
      <c r="D253">
        <f t="shared" si="51"/>
        <v>20</v>
      </c>
      <c r="E253">
        <v>40</v>
      </c>
      <c r="F253" s="241">
        <f t="shared" si="52"/>
        <v>0</v>
      </c>
    </row>
    <row r="254" spans="2:6">
      <c r="B254">
        <v>-1</v>
      </c>
      <c r="C254" s="240">
        <f t="shared" si="48"/>
        <v>3.3127777777777774</v>
      </c>
      <c r="D254">
        <f t="shared" si="51"/>
        <v>30</v>
      </c>
      <c r="E254">
        <v>70</v>
      </c>
      <c r="F254" s="241">
        <f t="shared" si="52"/>
        <v>0</v>
      </c>
    </row>
    <row r="255" spans="2:6">
      <c r="B255">
        <v>0</v>
      </c>
      <c r="C255" s="240">
        <f t="shared" si="48"/>
        <v>3.4074285714285715</v>
      </c>
      <c r="D255">
        <f t="shared" si="51"/>
        <v>110</v>
      </c>
      <c r="E255">
        <f>130+50</f>
        <v>180</v>
      </c>
      <c r="F255" s="241">
        <f t="shared" si="52"/>
        <v>0</v>
      </c>
    </row>
    <row r="256" spans="2:6">
      <c r="B256">
        <v>1</v>
      </c>
      <c r="C256" s="240">
        <f t="shared" si="48"/>
        <v>3.5076470588235291</v>
      </c>
      <c r="D256">
        <f t="shared" si="51"/>
        <v>190</v>
      </c>
      <c r="E256">
        <f>250+120</f>
        <v>370</v>
      </c>
      <c r="F256" s="241">
        <f t="shared" si="52"/>
        <v>0</v>
      </c>
    </row>
    <row r="257" spans="1:6">
      <c r="B257">
        <v>2</v>
      </c>
      <c r="C257" s="240">
        <f t="shared" si="48"/>
        <v>3.6139393939393933</v>
      </c>
      <c r="D257">
        <f t="shared" si="51"/>
        <v>230</v>
      </c>
      <c r="E257">
        <f>400+200</f>
        <v>600</v>
      </c>
      <c r="F257" s="241">
        <f t="shared" si="52"/>
        <v>0</v>
      </c>
    </row>
    <row r="258" spans="1:6">
      <c r="B258">
        <v>3</v>
      </c>
      <c r="C258" s="240">
        <f t="shared" si="48"/>
        <v>3.7268749999999997</v>
      </c>
      <c r="D258">
        <f t="shared" si="51"/>
        <v>320</v>
      </c>
      <c r="E258">
        <f>600+320</f>
        <v>920</v>
      </c>
      <c r="F258" s="241">
        <f t="shared" si="52"/>
        <v>0</v>
      </c>
    </row>
    <row r="259" spans="1:6">
      <c r="F259" s="241">
        <f>SUM(F237:F258)</f>
        <v>0</v>
      </c>
    </row>
    <row r="261" spans="1:6">
      <c r="A261" t="s">
        <v>522</v>
      </c>
      <c r="B261" t="s">
        <v>495</v>
      </c>
      <c r="C261" t="s">
        <v>496</v>
      </c>
      <c r="D261" t="s">
        <v>497</v>
      </c>
      <c r="F261" t="s">
        <v>498</v>
      </c>
    </row>
    <row r="262" spans="1:6">
      <c r="B262">
        <v>-18</v>
      </c>
      <c r="C262" s="240">
        <f t="shared" ref="C262:C283" si="53">+($D$4+$D$3)/($D$4-(B262-$D$5))*$D$6</f>
        <v>2.2501886792452832</v>
      </c>
      <c r="D262">
        <f>E262</f>
        <v>0</v>
      </c>
      <c r="E262">
        <v>0</v>
      </c>
      <c r="F262" s="241">
        <f t="shared" ref="F262:F268" si="54">+$D$7/C262*D262</f>
        <v>0</v>
      </c>
    </row>
    <row r="263" spans="1:6">
      <c r="B263">
        <v>-17</v>
      </c>
      <c r="C263" s="240">
        <f t="shared" si="53"/>
        <v>2.2934615384615387</v>
      </c>
      <c r="D263">
        <f t="shared" ref="D263:D268" si="55">E263-E262</f>
        <v>0</v>
      </c>
      <c r="E263">
        <v>0</v>
      </c>
      <c r="F263" s="241">
        <f t="shared" si="54"/>
        <v>0</v>
      </c>
    </row>
    <row r="264" spans="1:6">
      <c r="B264">
        <v>-16</v>
      </c>
      <c r="C264" s="240">
        <f t="shared" si="53"/>
        <v>2.3384313725490196</v>
      </c>
      <c r="D264">
        <f t="shared" si="55"/>
        <v>0</v>
      </c>
      <c r="E264">
        <v>0</v>
      </c>
      <c r="F264" s="241">
        <f t="shared" si="54"/>
        <v>0</v>
      </c>
    </row>
    <row r="265" spans="1:6">
      <c r="B265">
        <v>-15</v>
      </c>
      <c r="C265" s="240">
        <f t="shared" si="53"/>
        <v>2.3851999999999998</v>
      </c>
      <c r="D265">
        <f t="shared" si="55"/>
        <v>0</v>
      </c>
      <c r="E265">
        <v>0</v>
      </c>
      <c r="F265" s="241">
        <f t="shared" si="54"/>
        <v>0</v>
      </c>
    </row>
    <row r="266" spans="1:6">
      <c r="B266">
        <v>-14</v>
      </c>
      <c r="C266" s="240">
        <f t="shared" si="53"/>
        <v>2.4338775510204083</v>
      </c>
      <c r="D266">
        <f t="shared" si="55"/>
        <v>0</v>
      </c>
      <c r="E266">
        <v>0</v>
      </c>
      <c r="F266" s="241">
        <f t="shared" si="54"/>
        <v>0</v>
      </c>
    </row>
    <row r="267" spans="1:6">
      <c r="B267">
        <v>-13</v>
      </c>
      <c r="C267" s="240">
        <f t="shared" si="53"/>
        <v>2.4845833333333331</v>
      </c>
      <c r="D267">
        <f t="shared" si="55"/>
        <v>0</v>
      </c>
      <c r="E267">
        <v>0</v>
      </c>
      <c r="F267" s="241">
        <f t="shared" si="54"/>
        <v>0</v>
      </c>
    </row>
    <row r="268" spans="1:6">
      <c r="B268">
        <v>-12</v>
      </c>
      <c r="C268" s="240">
        <f t="shared" si="53"/>
        <v>2.5374468085106385</v>
      </c>
      <c r="D268">
        <f t="shared" si="55"/>
        <v>0</v>
      </c>
      <c r="E268">
        <v>0</v>
      </c>
      <c r="F268" s="241">
        <f t="shared" si="54"/>
        <v>0</v>
      </c>
    </row>
    <row r="269" spans="1:6">
      <c r="B269">
        <v>-11</v>
      </c>
      <c r="C269" s="240">
        <f t="shared" si="53"/>
        <v>2.5926086956521739</v>
      </c>
      <c r="D269">
        <f>E269-E268</f>
        <v>0</v>
      </c>
      <c r="E269">
        <v>0</v>
      </c>
      <c r="F269" s="241">
        <f>+$D$7/C269*D269</f>
        <v>0</v>
      </c>
    </row>
    <row r="270" spans="1:6">
      <c r="B270">
        <v>-10</v>
      </c>
      <c r="C270" s="240">
        <f t="shared" si="53"/>
        <v>2.6502222222222223</v>
      </c>
      <c r="D270">
        <f t="shared" ref="D270:D283" si="56">E270-E269</f>
        <v>10</v>
      </c>
      <c r="E270">
        <v>10</v>
      </c>
      <c r="F270" s="241">
        <f t="shared" ref="F270:F283" si="57">+$D$7/C270*D270</f>
        <v>0</v>
      </c>
    </row>
    <row r="271" spans="1:6">
      <c r="B271">
        <v>-9</v>
      </c>
      <c r="C271" s="240">
        <f t="shared" si="53"/>
        <v>2.7104545454545454</v>
      </c>
      <c r="D271">
        <f t="shared" si="56"/>
        <v>10</v>
      </c>
      <c r="E271">
        <v>20</v>
      </c>
      <c r="F271" s="241">
        <f t="shared" si="57"/>
        <v>0</v>
      </c>
    </row>
    <row r="272" spans="1:6">
      <c r="B272">
        <v>-8</v>
      </c>
      <c r="C272" s="240">
        <f t="shared" si="53"/>
        <v>2.7734883720930235</v>
      </c>
      <c r="D272">
        <f t="shared" si="56"/>
        <v>0</v>
      </c>
      <c r="E272">
        <v>20</v>
      </c>
      <c r="F272" s="241">
        <f t="shared" si="57"/>
        <v>0</v>
      </c>
    </row>
    <row r="273" spans="1:6">
      <c r="B273">
        <v>-7</v>
      </c>
      <c r="C273" s="240">
        <f t="shared" si="53"/>
        <v>2.8395238095238096</v>
      </c>
      <c r="D273">
        <f t="shared" si="56"/>
        <v>20</v>
      </c>
      <c r="E273">
        <v>40</v>
      </c>
      <c r="F273" s="241">
        <f t="shared" si="57"/>
        <v>0</v>
      </c>
    </row>
    <row r="274" spans="1:6">
      <c r="B274">
        <v>-6</v>
      </c>
      <c r="C274" s="240">
        <f t="shared" si="53"/>
        <v>2.908780487804878</v>
      </c>
      <c r="D274">
        <f t="shared" si="56"/>
        <v>10</v>
      </c>
      <c r="E274">
        <v>50</v>
      </c>
      <c r="F274" s="241">
        <f t="shared" si="57"/>
        <v>0</v>
      </c>
    </row>
    <row r="275" spans="1:6">
      <c r="B275">
        <v>-5</v>
      </c>
      <c r="C275" s="240">
        <f t="shared" si="53"/>
        <v>2.9815</v>
      </c>
      <c r="D275">
        <f t="shared" si="56"/>
        <v>20</v>
      </c>
      <c r="E275">
        <v>70</v>
      </c>
      <c r="F275" s="241">
        <f t="shared" si="57"/>
        <v>0</v>
      </c>
    </row>
    <row r="276" spans="1:6">
      <c r="B276">
        <v>-4</v>
      </c>
      <c r="C276" s="240">
        <f t="shared" si="53"/>
        <v>3.0579487179487179</v>
      </c>
      <c r="D276">
        <f t="shared" si="56"/>
        <v>20</v>
      </c>
      <c r="E276">
        <v>90</v>
      </c>
      <c r="F276" s="241">
        <f t="shared" si="57"/>
        <v>0</v>
      </c>
    </row>
    <row r="277" spans="1:6">
      <c r="B277">
        <v>-3</v>
      </c>
      <c r="C277" s="240">
        <f t="shared" si="53"/>
        <v>3.1384210526315788</v>
      </c>
      <c r="D277">
        <f t="shared" si="56"/>
        <v>40</v>
      </c>
      <c r="E277">
        <v>130</v>
      </c>
      <c r="F277" s="241">
        <f t="shared" si="57"/>
        <v>0</v>
      </c>
    </row>
    <row r="278" spans="1:6">
      <c r="B278">
        <v>-2</v>
      </c>
      <c r="C278" s="240">
        <f t="shared" si="53"/>
        <v>3.2232432432432434</v>
      </c>
      <c r="D278">
        <f t="shared" si="56"/>
        <v>70</v>
      </c>
      <c r="E278">
        <v>200</v>
      </c>
      <c r="F278" s="241">
        <f t="shared" si="57"/>
        <v>0</v>
      </c>
    </row>
    <row r="279" spans="1:6">
      <c r="B279">
        <v>-1</v>
      </c>
      <c r="C279" s="240">
        <f t="shared" si="53"/>
        <v>3.3127777777777774</v>
      </c>
      <c r="D279">
        <f t="shared" si="56"/>
        <v>100</v>
      </c>
      <c r="E279">
        <v>300</v>
      </c>
      <c r="F279" s="241">
        <f t="shared" si="57"/>
        <v>0</v>
      </c>
    </row>
    <row r="280" spans="1:6">
      <c r="B280">
        <v>0</v>
      </c>
      <c r="C280" s="240">
        <f t="shared" si="53"/>
        <v>3.4074285714285715</v>
      </c>
      <c r="D280">
        <f t="shared" si="56"/>
        <v>160</v>
      </c>
      <c r="E280">
        <f>280+180</f>
        <v>460</v>
      </c>
      <c r="F280" s="241">
        <f t="shared" si="57"/>
        <v>0</v>
      </c>
    </row>
    <row r="281" spans="1:6">
      <c r="B281">
        <v>1</v>
      </c>
      <c r="C281" s="240">
        <f t="shared" si="53"/>
        <v>3.5076470588235291</v>
      </c>
      <c r="D281">
        <f t="shared" si="56"/>
        <v>340</v>
      </c>
      <c r="E281">
        <f>500+300</f>
        <v>800</v>
      </c>
      <c r="F281" s="241">
        <f t="shared" si="57"/>
        <v>0</v>
      </c>
    </row>
    <row r="282" spans="1:6">
      <c r="B282">
        <v>2</v>
      </c>
      <c r="C282" s="240">
        <f t="shared" si="53"/>
        <v>3.6139393939393933</v>
      </c>
      <c r="D282">
        <f t="shared" si="56"/>
        <v>350</v>
      </c>
      <c r="E282">
        <f>700+450</f>
        <v>1150</v>
      </c>
      <c r="F282" s="241">
        <f t="shared" si="57"/>
        <v>0</v>
      </c>
    </row>
    <row r="283" spans="1:6">
      <c r="B283">
        <v>3</v>
      </c>
      <c r="C283" s="240">
        <f t="shared" si="53"/>
        <v>3.7268749999999997</v>
      </c>
      <c r="D283">
        <f t="shared" si="56"/>
        <v>450</v>
      </c>
      <c r="E283">
        <f>950+650</f>
        <v>1600</v>
      </c>
      <c r="F283" s="241">
        <f t="shared" si="57"/>
        <v>0</v>
      </c>
    </row>
    <row r="284" spans="1:6">
      <c r="F284" s="241">
        <f>SUM(F262:F283)</f>
        <v>0</v>
      </c>
    </row>
    <row r="286" spans="1:6">
      <c r="A286" t="s">
        <v>523</v>
      </c>
      <c r="B286" t="s">
        <v>495</v>
      </c>
      <c r="C286" t="s">
        <v>496</v>
      </c>
      <c r="D286" t="s">
        <v>497</v>
      </c>
      <c r="F286" t="s">
        <v>498</v>
      </c>
    </row>
    <row r="287" spans="1:6">
      <c r="B287">
        <v>-18</v>
      </c>
      <c r="C287" s="240">
        <f t="shared" ref="C287:C308" si="58">+($D$4+$D$3)/($D$4-(B287-$D$5))*$D$6</f>
        <v>2.2501886792452832</v>
      </c>
      <c r="D287">
        <f>E287</f>
        <v>0</v>
      </c>
      <c r="E287">
        <v>0</v>
      </c>
      <c r="F287" s="241">
        <f t="shared" ref="F287:F293" si="59">+$D$7/C287*D287</f>
        <v>0</v>
      </c>
    </row>
    <row r="288" spans="1:6">
      <c r="B288">
        <v>-17</v>
      </c>
      <c r="C288" s="240">
        <f t="shared" si="58"/>
        <v>2.2934615384615387</v>
      </c>
      <c r="D288">
        <f t="shared" ref="D288:D293" si="60">E288-E287</f>
        <v>0</v>
      </c>
      <c r="E288">
        <v>0</v>
      </c>
      <c r="F288" s="241">
        <f t="shared" si="59"/>
        <v>0</v>
      </c>
    </row>
    <row r="289" spans="2:6">
      <c r="B289">
        <v>-16</v>
      </c>
      <c r="C289" s="240">
        <f t="shared" si="58"/>
        <v>2.3384313725490196</v>
      </c>
      <c r="D289">
        <f t="shared" si="60"/>
        <v>0</v>
      </c>
      <c r="E289">
        <v>0</v>
      </c>
      <c r="F289" s="241">
        <f t="shared" si="59"/>
        <v>0</v>
      </c>
    </row>
    <row r="290" spans="2:6">
      <c r="B290">
        <v>-15</v>
      </c>
      <c r="C290" s="240">
        <f t="shared" si="58"/>
        <v>2.3851999999999998</v>
      </c>
      <c r="D290">
        <f t="shared" si="60"/>
        <v>0</v>
      </c>
      <c r="E290">
        <v>0</v>
      </c>
      <c r="F290" s="241">
        <f t="shared" si="59"/>
        <v>0</v>
      </c>
    </row>
    <row r="291" spans="2:6">
      <c r="B291">
        <v>-14</v>
      </c>
      <c r="C291" s="240">
        <f t="shared" si="58"/>
        <v>2.4338775510204083</v>
      </c>
      <c r="D291">
        <f t="shared" si="60"/>
        <v>0</v>
      </c>
      <c r="E291">
        <v>0</v>
      </c>
      <c r="F291" s="241">
        <f t="shared" si="59"/>
        <v>0</v>
      </c>
    </row>
    <row r="292" spans="2:6">
      <c r="B292">
        <v>-13</v>
      </c>
      <c r="C292" s="240">
        <f t="shared" si="58"/>
        <v>2.4845833333333331</v>
      </c>
      <c r="D292">
        <f t="shared" si="60"/>
        <v>0</v>
      </c>
      <c r="E292">
        <v>0</v>
      </c>
      <c r="F292" s="241">
        <f t="shared" si="59"/>
        <v>0</v>
      </c>
    </row>
    <row r="293" spans="2:6">
      <c r="B293">
        <v>-12</v>
      </c>
      <c r="C293" s="240">
        <f t="shared" si="58"/>
        <v>2.5374468085106385</v>
      </c>
      <c r="D293">
        <f t="shared" si="60"/>
        <v>10</v>
      </c>
      <c r="E293">
        <v>10</v>
      </c>
      <c r="F293" s="241">
        <f t="shared" si="59"/>
        <v>0</v>
      </c>
    </row>
    <row r="294" spans="2:6">
      <c r="B294">
        <v>-11</v>
      </c>
      <c r="C294" s="240">
        <f t="shared" si="58"/>
        <v>2.5926086956521739</v>
      </c>
      <c r="D294">
        <f>E294-E293</f>
        <v>10</v>
      </c>
      <c r="E294">
        <v>20</v>
      </c>
      <c r="F294" s="241">
        <f>+$D$7/C294*D294</f>
        <v>0</v>
      </c>
    </row>
    <row r="295" spans="2:6">
      <c r="B295">
        <v>-10</v>
      </c>
      <c r="C295" s="240">
        <f t="shared" si="58"/>
        <v>2.6502222222222223</v>
      </c>
      <c r="D295">
        <f t="shared" ref="D295:D308" si="61">E295-E294</f>
        <v>10</v>
      </c>
      <c r="E295">
        <v>30</v>
      </c>
      <c r="F295" s="241">
        <f t="shared" ref="F295:F308" si="62">+$D$7/C295*D295</f>
        <v>0</v>
      </c>
    </row>
    <row r="296" spans="2:6">
      <c r="B296">
        <v>-9</v>
      </c>
      <c r="C296" s="240">
        <f t="shared" si="58"/>
        <v>2.7104545454545454</v>
      </c>
      <c r="D296">
        <f t="shared" si="61"/>
        <v>10</v>
      </c>
      <c r="E296">
        <v>40</v>
      </c>
      <c r="F296" s="241">
        <f t="shared" si="62"/>
        <v>0</v>
      </c>
    </row>
    <row r="297" spans="2:6">
      <c r="B297">
        <v>-8</v>
      </c>
      <c r="C297" s="240">
        <f t="shared" si="58"/>
        <v>2.7734883720930235</v>
      </c>
      <c r="D297">
        <f t="shared" si="61"/>
        <v>30</v>
      </c>
      <c r="E297">
        <v>70</v>
      </c>
      <c r="F297" s="241">
        <f t="shared" si="62"/>
        <v>0</v>
      </c>
    </row>
    <row r="298" spans="2:6">
      <c r="B298">
        <v>-7</v>
      </c>
      <c r="C298" s="240">
        <f t="shared" si="58"/>
        <v>2.8395238095238096</v>
      </c>
      <c r="D298">
        <f t="shared" si="61"/>
        <v>40</v>
      </c>
      <c r="E298">
        <v>110</v>
      </c>
      <c r="F298" s="241">
        <f t="shared" si="62"/>
        <v>0</v>
      </c>
    </row>
    <row r="299" spans="2:6">
      <c r="B299">
        <v>-6</v>
      </c>
      <c r="C299" s="240">
        <f t="shared" si="58"/>
        <v>2.908780487804878</v>
      </c>
      <c r="D299">
        <f t="shared" si="61"/>
        <v>70</v>
      </c>
      <c r="E299">
        <f>130+50</f>
        <v>180</v>
      </c>
      <c r="F299" s="241">
        <f t="shared" si="62"/>
        <v>0</v>
      </c>
    </row>
    <row r="300" spans="2:6">
      <c r="B300">
        <v>-5</v>
      </c>
      <c r="C300" s="240">
        <f t="shared" si="58"/>
        <v>2.9815</v>
      </c>
      <c r="D300">
        <f t="shared" si="61"/>
        <v>130</v>
      </c>
      <c r="E300">
        <f>210+100</f>
        <v>310</v>
      </c>
      <c r="F300" s="241">
        <f t="shared" si="62"/>
        <v>0</v>
      </c>
    </row>
    <row r="301" spans="2:6">
      <c r="B301">
        <v>-4</v>
      </c>
      <c r="C301" s="240">
        <f t="shared" si="58"/>
        <v>3.0579487179487179</v>
      </c>
      <c r="D301">
        <f t="shared" si="61"/>
        <v>290</v>
      </c>
      <c r="E301">
        <f>320+280</f>
        <v>600</v>
      </c>
      <c r="F301" s="241">
        <f t="shared" si="62"/>
        <v>0</v>
      </c>
    </row>
    <row r="302" spans="2:6">
      <c r="B302">
        <v>-3</v>
      </c>
      <c r="C302" s="240">
        <f t="shared" si="58"/>
        <v>3.1384210526315788</v>
      </c>
      <c r="D302">
        <f t="shared" si="61"/>
        <v>110</v>
      </c>
      <c r="E302">
        <f>450+260</f>
        <v>710</v>
      </c>
      <c r="F302" s="241">
        <f t="shared" si="62"/>
        <v>0</v>
      </c>
    </row>
    <row r="303" spans="2:6">
      <c r="B303">
        <v>-2</v>
      </c>
      <c r="C303" s="240">
        <f t="shared" si="58"/>
        <v>3.2232432432432434</v>
      </c>
      <c r="D303">
        <f t="shared" si="61"/>
        <v>320</v>
      </c>
      <c r="E303">
        <f>650+380</f>
        <v>1030</v>
      </c>
      <c r="F303" s="241">
        <f t="shared" si="62"/>
        <v>0</v>
      </c>
    </row>
    <row r="304" spans="2:6">
      <c r="B304">
        <v>-1</v>
      </c>
      <c r="C304" s="240">
        <f t="shared" si="58"/>
        <v>3.3127777777777774</v>
      </c>
      <c r="D304">
        <f t="shared" si="61"/>
        <v>340</v>
      </c>
      <c r="E304">
        <f>850+520</f>
        <v>1370</v>
      </c>
      <c r="F304" s="241">
        <f t="shared" si="62"/>
        <v>0</v>
      </c>
    </row>
    <row r="305" spans="1:6">
      <c r="B305">
        <v>0</v>
      </c>
      <c r="C305" s="240">
        <f t="shared" si="58"/>
        <v>3.4074285714285715</v>
      </c>
      <c r="D305">
        <f t="shared" si="61"/>
        <v>470</v>
      </c>
      <c r="E305">
        <f>1120+720</f>
        <v>1840</v>
      </c>
      <c r="F305" s="241">
        <f t="shared" si="62"/>
        <v>0</v>
      </c>
    </row>
    <row r="306" spans="1:6">
      <c r="B306">
        <v>1</v>
      </c>
      <c r="C306" s="240">
        <f t="shared" si="58"/>
        <v>3.5076470588235291</v>
      </c>
      <c r="D306">
        <f t="shared" si="61"/>
        <v>380</v>
      </c>
      <c r="E306">
        <f>1300+920</f>
        <v>2220</v>
      </c>
      <c r="F306" s="241">
        <f t="shared" si="62"/>
        <v>0</v>
      </c>
    </row>
    <row r="307" spans="1:6">
      <c r="B307">
        <v>2</v>
      </c>
      <c r="C307" s="240">
        <f t="shared" si="58"/>
        <v>3.6139393939393933</v>
      </c>
      <c r="D307">
        <f t="shared" si="61"/>
        <v>400</v>
      </c>
      <c r="E307">
        <f>1520+1100</f>
        <v>2620</v>
      </c>
      <c r="F307" s="241">
        <f t="shared" si="62"/>
        <v>0</v>
      </c>
    </row>
    <row r="308" spans="1:6">
      <c r="B308">
        <v>3</v>
      </c>
      <c r="C308" s="240">
        <f t="shared" si="58"/>
        <v>3.7268749999999997</v>
      </c>
      <c r="D308">
        <f t="shared" si="61"/>
        <v>310</v>
      </c>
      <c r="E308">
        <f>1700+1230</f>
        <v>2930</v>
      </c>
      <c r="F308" s="241">
        <f t="shared" si="62"/>
        <v>0</v>
      </c>
    </row>
    <row r="309" spans="1:6">
      <c r="F309" s="241">
        <f>SUM(F287:F308)</f>
        <v>0</v>
      </c>
    </row>
    <row r="311" spans="1:6">
      <c r="A311" t="s">
        <v>524</v>
      </c>
      <c r="B311" t="s">
        <v>495</v>
      </c>
      <c r="C311" t="s">
        <v>496</v>
      </c>
      <c r="D311" t="s">
        <v>497</v>
      </c>
      <c r="F311" t="s">
        <v>498</v>
      </c>
    </row>
    <row r="312" spans="1:6">
      <c r="B312">
        <v>-28</v>
      </c>
      <c r="C312" s="240">
        <f t="shared" ref="C312" si="63">+($D$4+$D$3)/($D$4-(B312-$D$5))*$D$6</f>
        <v>1.893015873015873</v>
      </c>
      <c r="D312">
        <f>E312</f>
        <v>10</v>
      </c>
      <c r="E312">
        <v>10</v>
      </c>
      <c r="F312" s="241">
        <f t="shared" ref="F312" si="64">+$D$7/C312*D312</f>
        <v>0</v>
      </c>
    </row>
    <row r="313" spans="1:6">
      <c r="B313">
        <v>-27</v>
      </c>
      <c r="C313" s="240">
        <f t="shared" ref="C313:C322" si="65">+($D$4+$D$3)/($D$4-(B313-$D$5))*$D$6</f>
        <v>1.9235483870967742</v>
      </c>
      <c r="D313">
        <f t="shared" ref="D313:D322" si="66">E313-E312</f>
        <v>10</v>
      </c>
      <c r="E313">
        <v>20</v>
      </c>
      <c r="F313" s="241">
        <f t="shared" ref="F313:F322" si="67">+$D$7/C313*D313</f>
        <v>0</v>
      </c>
    </row>
    <row r="314" spans="1:6">
      <c r="B314">
        <v>-26</v>
      </c>
      <c r="C314" s="240">
        <f t="shared" si="65"/>
        <v>1.9550819672131148</v>
      </c>
      <c r="D314">
        <f t="shared" si="66"/>
        <v>10</v>
      </c>
      <c r="E314">
        <v>30</v>
      </c>
      <c r="F314" s="241">
        <f t="shared" si="67"/>
        <v>0</v>
      </c>
    </row>
    <row r="315" spans="1:6">
      <c r="B315">
        <v>-25</v>
      </c>
      <c r="C315" s="240">
        <f t="shared" si="65"/>
        <v>1.9876666666666667</v>
      </c>
      <c r="D315">
        <f t="shared" si="66"/>
        <v>10</v>
      </c>
      <c r="E315">
        <v>40</v>
      </c>
      <c r="F315" s="241">
        <f t="shared" si="67"/>
        <v>0</v>
      </c>
    </row>
    <row r="316" spans="1:6">
      <c r="B316">
        <v>-24</v>
      </c>
      <c r="C316" s="240">
        <f t="shared" si="65"/>
        <v>2.0213559322033898</v>
      </c>
      <c r="D316">
        <f t="shared" si="66"/>
        <v>10</v>
      </c>
      <c r="E316">
        <v>50</v>
      </c>
      <c r="F316" s="241">
        <f t="shared" si="67"/>
        <v>0</v>
      </c>
    </row>
    <row r="317" spans="1:6">
      <c r="B317">
        <v>-23</v>
      </c>
      <c r="C317" s="240">
        <f t="shared" si="65"/>
        <v>2.0562068965517244</v>
      </c>
      <c r="D317">
        <f t="shared" si="66"/>
        <v>30</v>
      </c>
      <c r="E317">
        <v>80</v>
      </c>
      <c r="F317" s="241">
        <f t="shared" si="67"/>
        <v>0</v>
      </c>
    </row>
    <row r="318" spans="1:6">
      <c r="B318">
        <v>-22</v>
      </c>
      <c r="C318" s="240">
        <f t="shared" si="65"/>
        <v>2.0922807017543859</v>
      </c>
      <c r="D318">
        <f t="shared" si="66"/>
        <v>40</v>
      </c>
      <c r="E318">
        <v>120</v>
      </c>
      <c r="F318" s="241">
        <f t="shared" si="67"/>
        <v>0</v>
      </c>
    </row>
    <row r="319" spans="1:6">
      <c r="B319">
        <v>-21</v>
      </c>
      <c r="C319" s="240">
        <f t="shared" si="65"/>
        <v>2.1296428571428572</v>
      </c>
      <c r="D319">
        <f t="shared" si="66"/>
        <v>20</v>
      </c>
      <c r="E319">
        <v>140</v>
      </c>
      <c r="F319" s="241">
        <f t="shared" si="67"/>
        <v>0</v>
      </c>
    </row>
    <row r="320" spans="1:6">
      <c r="B320">
        <v>-20</v>
      </c>
      <c r="C320" s="240">
        <f t="shared" si="65"/>
        <v>2.1683636363636363</v>
      </c>
      <c r="D320">
        <f t="shared" si="66"/>
        <v>50</v>
      </c>
      <c r="E320">
        <v>190</v>
      </c>
      <c r="F320" s="241">
        <f t="shared" si="67"/>
        <v>0</v>
      </c>
    </row>
    <row r="321" spans="2:6">
      <c r="B321">
        <v>-19</v>
      </c>
      <c r="C321" s="240">
        <f t="shared" si="65"/>
        <v>2.2085185185185181</v>
      </c>
      <c r="D321">
        <f t="shared" si="66"/>
        <v>30</v>
      </c>
      <c r="E321">
        <v>220</v>
      </c>
      <c r="F321" s="241">
        <f t="shared" si="67"/>
        <v>0</v>
      </c>
    </row>
    <row r="322" spans="2:6">
      <c r="B322">
        <v>-18</v>
      </c>
      <c r="C322" s="240">
        <f t="shared" si="65"/>
        <v>2.2501886792452832</v>
      </c>
      <c r="D322">
        <f t="shared" si="66"/>
        <v>30</v>
      </c>
      <c r="E322">
        <v>250</v>
      </c>
      <c r="F322" s="241">
        <f t="shared" si="67"/>
        <v>0</v>
      </c>
    </row>
    <row r="323" spans="2:6">
      <c r="B323">
        <v>-17</v>
      </c>
      <c r="C323" s="240">
        <f t="shared" ref="C323:C343" si="68">+($D$4+$D$3)/($D$4-(B323-$D$5))*$D$6</f>
        <v>2.2934615384615387</v>
      </c>
      <c r="D323">
        <f t="shared" ref="D323:D328" si="69">E323-E322</f>
        <v>50</v>
      </c>
      <c r="E323">
        <f>230+70</f>
        <v>300</v>
      </c>
      <c r="F323" s="241">
        <f t="shared" ref="F323:F328" si="70">+$D$7/C323*D323</f>
        <v>0</v>
      </c>
    </row>
    <row r="324" spans="2:6">
      <c r="B324">
        <v>-16</v>
      </c>
      <c r="C324" s="240">
        <f t="shared" si="68"/>
        <v>2.3384313725490196</v>
      </c>
      <c r="D324">
        <f t="shared" si="69"/>
        <v>40</v>
      </c>
      <c r="E324">
        <f>260+80</f>
        <v>340</v>
      </c>
      <c r="F324" s="241">
        <f t="shared" si="70"/>
        <v>0</v>
      </c>
    </row>
    <row r="325" spans="2:6">
      <c r="B325">
        <v>-15</v>
      </c>
      <c r="C325" s="240">
        <f t="shared" si="68"/>
        <v>2.3851999999999998</v>
      </c>
      <c r="D325">
        <f t="shared" si="69"/>
        <v>80</v>
      </c>
      <c r="E325">
        <f>320+100</f>
        <v>420</v>
      </c>
      <c r="F325" s="241">
        <f t="shared" si="70"/>
        <v>0</v>
      </c>
    </row>
    <row r="326" spans="2:6">
      <c r="B326">
        <v>-14</v>
      </c>
      <c r="C326" s="240">
        <f t="shared" si="68"/>
        <v>2.4338775510204083</v>
      </c>
      <c r="D326">
        <f t="shared" si="69"/>
        <v>60</v>
      </c>
      <c r="E326">
        <f>350+130</f>
        <v>480</v>
      </c>
      <c r="F326" s="241">
        <f t="shared" si="70"/>
        <v>0</v>
      </c>
    </row>
    <row r="327" spans="2:6">
      <c r="B327">
        <v>-13</v>
      </c>
      <c r="C327" s="240">
        <f t="shared" si="68"/>
        <v>2.4845833333333331</v>
      </c>
      <c r="D327">
        <f t="shared" si="69"/>
        <v>130</v>
      </c>
      <c r="E327">
        <f>450+160</f>
        <v>610</v>
      </c>
      <c r="F327" s="241">
        <f t="shared" si="70"/>
        <v>0</v>
      </c>
    </row>
    <row r="328" spans="2:6">
      <c r="B328">
        <v>-12</v>
      </c>
      <c r="C328" s="240">
        <f t="shared" si="68"/>
        <v>2.5374468085106385</v>
      </c>
      <c r="D328">
        <f t="shared" si="69"/>
        <v>110</v>
      </c>
      <c r="E328">
        <f>520+200</f>
        <v>720</v>
      </c>
      <c r="F328" s="241">
        <f t="shared" si="70"/>
        <v>0</v>
      </c>
    </row>
    <row r="329" spans="2:6">
      <c r="B329">
        <v>-11</v>
      </c>
      <c r="C329" s="240">
        <f t="shared" si="68"/>
        <v>2.5926086956521739</v>
      </c>
      <c r="D329">
        <f>E329-E328</f>
        <v>110</v>
      </c>
      <c r="E329">
        <f>600+230</f>
        <v>830</v>
      </c>
      <c r="F329" s="241">
        <f>+$D$7/C329*D329</f>
        <v>0</v>
      </c>
    </row>
    <row r="330" spans="2:6">
      <c r="B330">
        <v>-10</v>
      </c>
      <c r="C330" s="240">
        <f t="shared" si="68"/>
        <v>2.6502222222222223</v>
      </c>
      <c r="D330">
        <f t="shared" ref="D330:D343" si="71">E330-E329</f>
        <v>130</v>
      </c>
      <c r="E330">
        <f>680+280</f>
        <v>960</v>
      </c>
      <c r="F330" s="241">
        <f t="shared" ref="F330:F343" si="72">+$D$7/C330*D330</f>
        <v>0</v>
      </c>
    </row>
    <row r="331" spans="2:6">
      <c r="B331">
        <v>-9</v>
      </c>
      <c r="C331" s="240">
        <f t="shared" si="68"/>
        <v>2.7104545454545454</v>
      </c>
      <c r="D331">
        <f t="shared" si="71"/>
        <v>160</v>
      </c>
      <c r="E331">
        <f>780+340</f>
        <v>1120</v>
      </c>
      <c r="F331" s="241">
        <f t="shared" si="72"/>
        <v>0</v>
      </c>
    </row>
    <row r="332" spans="2:6">
      <c r="B332">
        <v>-8</v>
      </c>
      <c r="C332" s="240">
        <f t="shared" si="68"/>
        <v>2.7734883720930235</v>
      </c>
      <c r="D332">
        <f t="shared" si="71"/>
        <v>180</v>
      </c>
      <c r="E332">
        <f>880+420</f>
        <v>1300</v>
      </c>
      <c r="F332" s="241">
        <f t="shared" si="72"/>
        <v>0</v>
      </c>
    </row>
    <row r="333" spans="2:6">
      <c r="B333">
        <v>-7</v>
      </c>
      <c r="C333" s="240">
        <f t="shared" si="68"/>
        <v>2.8395238095238096</v>
      </c>
      <c r="D333">
        <f t="shared" si="71"/>
        <v>150</v>
      </c>
      <c r="E333">
        <v>1450</v>
      </c>
      <c r="F333" s="241">
        <f t="shared" si="72"/>
        <v>0</v>
      </c>
    </row>
    <row r="334" spans="2:6">
      <c r="B334">
        <v>-6</v>
      </c>
      <c r="C334" s="240">
        <f t="shared" si="68"/>
        <v>2.908780487804878</v>
      </c>
      <c r="D334">
        <f t="shared" si="71"/>
        <v>200</v>
      </c>
      <c r="E334">
        <v>1650</v>
      </c>
      <c r="F334" s="241">
        <f t="shared" si="72"/>
        <v>0</v>
      </c>
    </row>
    <row r="335" spans="2:6">
      <c r="B335">
        <v>-5</v>
      </c>
      <c r="C335" s="240">
        <f t="shared" si="68"/>
        <v>2.9815</v>
      </c>
      <c r="D335">
        <f t="shared" si="71"/>
        <v>220</v>
      </c>
      <c r="E335">
        <f>1220+650</f>
        <v>1870</v>
      </c>
      <c r="F335" s="241">
        <f t="shared" si="72"/>
        <v>0</v>
      </c>
    </row>
    <row r="336" spans="2:6">
      <c r="B336">
        <v>-4</v>
      </c>
      <c r="C336" s="240">
        <f t="shared" si="68"/>
        <v>3.0579487179487179</v>
      </c>
      <c r="D336">
        <f t="shared" si="71"/>
        <v>280</v>
      </c>
      <c r="E336">
        <f>1400+750</f>
        <v>2150</v>
      </c>
      <c r="F336" s="241">
        <f t="shared" si="72"/>
        <v>0</v>
      </c>
    </row>
    <row r="337" spans="1:6">
      <c r="B337">
        <v>-3</v>
      </c>
      <c r="C337" s="240">
        <f t="shared" si="68"/>
        <v>3.1384210526315788</v>
      </c>
      <c r="D337">
        <f t="shared" si="71"/>
        <v>300</v>
      </c>
      <c r="E337">
        <f>1550+900</f>
        <v>2450</v>
      </c>
      <c r="F337" s="241">
        <f t="shared" si="72"/>
        <v>0</v>
      </c>
    </row>
    <row r="338" spans="1:6">
      <c r="B338">
        <v>-2</v>
      </c>
      <c r="C338" s="240">
        <f t="shared" si="68"/>
        <v>3.2232432432432434</v>
      </c>
      <c r="D338">
        <f t="shared" si="71"/>
        <v>320</v>
      </c>
      <c r="E338">
        <f>1750+1020</f>
        <v>2770</v>
      </c>
      <c r="F338" s="241">
        <f t="shared" si="72"/>
        <v>0</v>
      </c>
    </row>
    <row r="339" spans="1:6">
      <c r="B339">
        <v>-1</v>
      </c>
      <c r="C339" s="240">
        <f t="shared" si="68"/>
        <v>3.3127777777777774</v>
      </c>
      <c r="D339">
        <f t="shared" si="71"/>
        <v>330</v>
      </c>
      <c r="E339">
        <f>1950+1150</f>
        <v>3100</v>
      </c>
      <c r="F339" s="241">
        <f t="shared" si="72"/>
        <v>0</v>
      </c>
    </row>
    <row r="340" spans="1:6">
      <c r="B340">
        <v>0</v>
      </c>
      <c r="C340" s="240">
        <f t="shared" si="68"/>
        <v>3.4074285714285715</v>
      </c>
      <c r="D340">
        <f t="shared" si="71"/>
        <v>400</v>
      </c>
      <c r="E340">
        <f>2200+1300</f>
        <v>3500</v>
      </c>
      <c r="F340" s="241">
        <f t="shared" si="72"/>
        <v>0</v>
      </c>
    </row>
    <row r="341" spans="1:6">
      <c r="B341">
        <v>1</v>
      </c>
      <c r="C341" s="240">
        <f t="shared" si="68"/>
        <v>3.5076470588235291</v>
      </c>
      <c r="D341">
        <f t="shared" si="71"/>
        <v>450</v>
      </c>
      <c r="E341">
        <f>2450+1500</f>
        <v>3950</v>
      </c>
      <c r="F341" s="241">
        <f t="shared" si="72"/>
        <v>0</v>
      </c>
    </row>
    <row r="342" spans="1:6">
      <c r="B342">
        <v>2</v>
      </c>
      <c r="C342" s="240">
        <f t="shared" si="68"/>
        <v>3.6139393939393933</v>
      </c>
      <c r="D342">
        <f t="shared" si="71"/>
        <v>350</v>
      </c>
      <c r="E342">
        <f>2650+1650</f>
        <v>4300</v>
      </c>
      <c r="F342" s="241">
        <f t="shared" si="72"/>
        <v>0</v>
      </c>
    </row>
    <row r="343" spans="1:6">
      <c r="B343">
        <v>3</v>
      </c>
      <c r="C343" s="240">
        <f t="shared" si="68"/>
        <v>3.7268749999999997</v>
      </c>
      <c r="D343">
        <f t="shared" si="71"/>
        <v>370</v>
      </c>
      <c r="E343">
        <f>2850+1820</f>
        <v>4670</v>
      </c>
      <c r="F343" s="241">
        <f t="shared" si="72"/>
        <v>0</v>
      </c>
    </row>
    <row r="344" spans="1:6">
      <c r="F344" s="241">
        <f>SUM(F312:F343)</f>
        <v>0</v>
      </c>
    </row>
    <row r="346" spans="1:6">
      <c r="A346" t="s">
        <v>525</v>
      </c>
      <c r="B346" t="s">
        <v>495</v>
      </c>
      <c r="C346" t="s">
        <v>496</v>
      </c>
      <c r="D346" t="s">
        <v>497</v>
      </c>
      <c r="F346" t="s">
        <v>498</v>
      </c>
    </row>
    <row r="347" spans="1:6">
      <c r="B347">
        <v>-18</v>
      </c>
      <c r="C347" s="240">
        <f t="shared" ref="C347:C368" si="73">+($D$4+$D$3)/($D$4-(B347-$D$5))*$D$6</f>
        <v>2.2501886792452832</v>
      </c>
      <c r="D347">
        <f>E347</f>
        <v>0</v>
      </c>
      <c r="E347">
        <v>0</v>
      </c>
      <c r="F347" s="241">
        <f t="shared" ref="F347:F353" si="74">+$D$7/C347*D347</f>
        <v>0</v>
      </c>
    </row>
    <row r="348" spans="1:6">
      <c r="B348">
        <v>-17</v>
      </c>
      <c r="C348" s="240">
        <f t="shared" si="73"/>
        <v>2.2934615384615387</v>
      </c>
      <c r="D348">
        <f t="shared" ref="D348:D353" si="75">E348-E347</f>
        <v>0</v>
      </c>
      <c r="E348">
        <v>0</v>
      </c>
      <c r="F348" s="241">
        <f t="shared" si="74"/>
        <v>0</v>
      </c>
    </row>
    <row r="349" spans="1:6">
      <c r="B349">
        <v>-16</v>
      </c>
      <c r="C349" s="240">
        <f t="shared" si="73"/>
        <v>2.3384313725490196</v>
      </c>
      <c r="D349">
        <f t="shared" si="75"/>
        <v>0</v>
      </c>
      <c r="E349">
        <v>0</v>
      </c>
      <c r="F349" s="241">
        <f t="shared" si="74"/>
        <v>0</v>
      </c>
    </row>
    <row r="350" spans="1:6">
      <c r="B350">
        <v>-15</v>
      </c>
      <c r="C350" s="240">
        <f t="shared" si="73"/>
        <v>2.3851999999999998</v>
      </c>
      <c r="D350">
        <f t="shared" si="75"/>
        <v>0</v>
      </c>
      <c r="E350">
        <v>0</v>
      </c>
      <c r="F350" s="241">
        <f t="shared" si="74"/>
        <v>0</v>
      </c>
    </row>
    <row r="351" spans="1:6">
      <c r="B351">
        <v>-14</v>
      </c>
      <c r="C351" s="240">
        <f t="shared" si="73"/>
        <v>2.4338775510204083</v>
      </c>
      <c r="D351">
        <f t="shared" si="75"/>
        <v>0</v>
      </c>
      <c r="E351">
        <v>0</v>
      </c>
      <c r="F351" s="241">
        <f t="shared" si="74"/>
        <v>0</v>
      </c>
    </row>
    <row r="352" spans="1:6">
      <c r="B352">
        <v>-13</v>
      </c>
      <c r="C352" s="240">
        <f t="shared" si="73"/>
        <v>2.4845833333333331</v>
      </c>
      <c r="D352">
        <f t="shared" si="75"/>
        <v>0</v>
      </c>
      <c r="E352">
        <v>0</v>
      </c>
      <c r="F352" s="241">
        <f t="shared" si="74"/>
        <v>0</v>
      </c>
    </row>
    <row r="353" spans="2:6">
      <c r="B353">
        <v>-12</v>
      </c>
      <c r="C353" s="240">
        <f t="shared" si="73"/>
        <v>2.5374468085106385</v>
      </c>
      <c r="D353">
        <f t="shared" si="75"/>
        <v>10</v>
      </c>
      <c r="E353">
        <v>10</v>
      </c>
      <c r="F353" s="241">
        <f t="shared" si="74"/>
        <v>0</v>
      </c>
    </row>
    <row r="354" spans="2:6">
      <c r="B354">
        <v>-11</v>
      </c>
      <c r="C354" s="240">
        <f t="shared" si="73"/>
        <v>2.5926086956521739</v>
      </c>
      <c r="D354">
        <f>E354-E353</f>
        <v>10</v>
      </c>
      <c r="E354">
        <v>20</v>
      </c>
      <c r="F354" s="241">
        <f>+$D$7/C354*D354</f>
        <v>0</v>
      </c>
    </row>
    <row r="355" spans="2:6">
      <c r="B355">
        <v>-10</v>
      </c>
      <c r="C355" s="240">
        <f t="shared" si="73"/>
        <v>2.6502222222222223</v>
      </c>
      <c r="D355">
        <f t="shared" ref="D355:D368" si="76">E355-E354</f>
        <v>20</v>
      </c>
      <c r="E355">
        <v>40</v>
      </c>
      <c r="F355" s="241">
        <f t="shared" ref="F355:F368" si="77">+$D$7/C355*D355</f>
        <v>0</v>
      </c>
    </row>
    <row r="356" spans="2:6">
      <c r="B356">
        <v>-9</v>
      </c>
      <c r="C356" s="240">
        <f t="shared" si="73"/>
        <v>2.7104545454545454</v>
      </c>
      <c r="D356">
        <f t="shared" si="76"/>
        <v>40</v>
      </c>
      <c r="E356">
        <v>80</v>
      </c>
      <c r="F356" s="241">
        <f t="shared" si="77"/>
        <v>0</v>
      </c>
    </row>
    <row r="357" spans="2:6">
      <c r="B357">
        <v>-8</v>
      </c>
      <c r="C357" s="240">
        <f t="shared" si="73"/>
        <v>2.7734883720930235</v>
      </c>
      <c r="D357">
        <f t="shared" si="76"/>
        <v>50</v>
      </c>
      <c r="E357">
        <v>130</v>
      </c>
      <c r="F357" s="241">
        <f t="shared" si="77"/>
        <v>0</v>
      </c>
    </row>
    <row r="358" spans="2:6">
      <c r="B358">
        <v>-7</v>
      </c>
      <c r="C358" s="240">
        <f t="shared" si="73"/>
        <v>2.8395238095238096</v>
      </c>
      <c r="D358">
        <f t="shared" si="76"/>
        <v>30</v>
      </c>
      <c r="E358">
        <v>160</v>
      </c>
      <c r="F358" s="241">
        <f t="shared" si="77"/>
        <v>0</v>
      </c>
    </row>
    <row r="359" spans="2:6">
      <c r="B359">
        <v>-6</v>
      </c>
      <c r="C359" s="240">
        <f t="shared" si="73"/>
        <v>2.908780487804878</v>
      </c>
      <c r="D359">
        <f t="shared" si="76"/>
        <v>40</v>
      </c>
      <c r="E359">
        <v>200</v>
      </c>
      <c r="F359" s="241">
        <f t="shared" si="77"/>
        <v>0</v>
      </c>
    </row>
    <row r="360" spans="2:6">
      <c r="B360">
        <v>-5</v>
      </c>
      <c r="C360" s="240">
        <f t="shared" si="73"/>
        <v>2.9815</v>
      </c>
      <c r="D360">
        <f t="shared" si="76"/>
        <v>70</v>
      </c>
      <c r="E360">
        <v>270</v>
      </c>
      <c r="F360" s="241">
        <f t="shared" si="77"/>
        <v>0</v>
      </c>
    </row>
    <row r="361" spans="2:6">
      <c r="B361">
        <v>-4</v>
      </c>
      <c r="C361" s="240">
        <f t="shared" si="73"/>
        <v>3.0579487179487179</v>
      </c>
      <c r="D361">
        <f t="shared" si="76"/>
        <v>110</v>
      </c>
      <c r="E361">
        <v>380</v>
      </c>
      <c r="F361" s="241">
        <f t="shared" si="77"/>
        <v>0</v>
      </c>
    </row>
    <row r="362" spans="2:6">
      <c r="B362">
        <v>-3</v>
      </c>
      <c r="C362" s="240">
        <f t="shared" si="73"/>
        <v>3.1384210526315788</v>
      </c>
      <c r="D362">
        <f t="shared" si="76"/>
        <v>150</v>
      </c>
      <c r="E362">
        <f>220+310</f>
        <v>530</v>
      </c>
      <c r="F362" s="241">
        <f t="shared" si="77"/>
        <v>0</v>
      </c>
    </row>
    <row r="363" spans="2:6">
      <c r="B363">
        <v>-2</v>
      </c>
      <c r="C363" s="240">
        <f t="shared" si="73"/>
        <v>3.2232432432432434</v>
      </c>
      <c r="D363">
        <f t="shared" si="76"/>
        <v>210</v>
      </c>
      <c r="E363">
        <f>320+420</f>
        <v>740</v>
      </c>
      <c r="F363" s="241">
        <f t="shared" si="77"/>
        <v>0</v>
      </c>
    </row>
    <row r="364" spans="2:6">
      <c r="B364">
        <v>-1</v>
      </c>
      <c r="C364" s="240">
        <f t="shared" si="73"/>
        <v>3.3127777777777774</v>
      </c>
      <c r="D364">
        <f t="shared" si="76"/>
        <v>360</v>
      </c>
      <c r="E364">
        <f>600+500</f>
        <v>1100</v>
      </c>
      <c r="F364" s="241">
        <f t="shared" si="77"/>
        <v>0</v>
      </c>
    </row>
    <row r="365" spans="2:6">
      <c r="B365">
        <v>0</v>
      </c>
      <c r="C365" s="240">
        <f t="shared" si="73"/>
        <v>3.4074285714285715</v>
      </c>
      <c r="D365">
        <f t="shared" si="76"/>
        <v>320</v>
      </c>
      <c r="E365">
        <f>800+620</f>
        <v>1420</v>
      </c>
      <c r="F365" s="241">
        <f t="shared" si="77"/>
        <v>0</v>
      </c>
    </row>
    <row r="366" spans="2:6">
      <c r="B366">
        <v>1</v>
      </c>
      <c r="C366" s="240">
        <f t="shared" si="73"/>
        <v>3.5076470588235291</v>
      </c>
      <c r="D366">
        <f t="shared" si="76"/>
        <v>380</v>
      </c>
      <c r="E366">
        <f>1000+800</f>
        <v>1800</v>
      </c>
      <c r="F366" s="241">
        <f t="shared" si="77"/>
        <v>0</v>
      </c>
    </row>
    <row r="367" spans="2:6">
      <c r="B367">
        <v>2</v>
      </c>
      <c r="C367" s="240">
        <f t="shared" si="73"/>
        <v>3.6139393939393933</v>
      </c>
      <c r="D367">
        <f t="shared" si="76"/>
        <v>430</v>
      </c>
      <c r="E367">
        <f>1230+1000</f>
        <v>2230</v>
      </c>
      <c r="F367" s="241">
        <f t="shared" si="77"/>
        <v>0</v>
      </c>
    </row>
    <row r="368" spans="2:6">
      <c r="B368">
        <v>3</v>
      </c>
      <c r="C368" s="240">
        <f t="shared" si="73"/>
        <v>3.7268749999999997</v>
      </c>
      <c r="D368">
        <f t="shared" si="76"/>
        <v>350</v>
      </c>
      <c r="E368">
        <f>1400+1180</f>
        <v>2580</v>
      </c>
      <c r="F368" s="241">
        <f t="shared" si="77"/>
        <v>0</v>
      </c>
    </row>
    <row r="369" spans="1:6">
      <c r="F369" s="241">
        <f>SUM(F347:F368)</f>
        <v>0</v>
      </c>
    </row>
    <row r="371" spans="1:6">
      <c r="A371" t="s">
        <v>526</v>
      </c>
      <c r="B371" t="s">
        <v>495</v>
      </c>
      <c r="C371" t="s">
        <v>496</v>
      </c>
      <c r="D371" t="s">
        <v>497</v>
      </c>
      <c r="F371" t="s">
        <v>498</v>
      </c>
    </row>
    <row r="372" spans="1:6">
      <c r="B372">
        <v>-18</v>
      </c>
      <c r="C372" s="240">
        <f t="shared" ref="C372:C393" si="78">+($D$4+$D$3)/($D$4-(B372-$D$5))*$D$6</f>
        <v>2.2501886792452832</v>
      </c>
      <c r="D372">
        <f>E372</f>
        <v>0</v>
      </c>
      <c r="E372">
        <v>0</v>
      </c>
      <c r="F372" s="241">
        <f t="shared" ref="F372:F378" si="79">+$D$7/C372*D372</f>
        <v>0</v>
      </c>
    </row>
    <row r="373" spans="1:6">
      <c r="B373">
        <v>-17</v>
      </c>
      <c r="C373" s="240">
        <f t="shared" si="78"/>
        <v>2.2934615384615387</v>
      </c>
      <c r="D373">
        <f t="shared" ref="D373:D378" si="80">E373-E372</f>
        <v>0</v>
      </c>
      <c r="E373">
        <v>0</v>
      </c>
      <c r="F373" s="241">
        <f t="shared" si="79"/>
        <v>0</v>
      </c>
    </row>
    <row r="374" spans="1:6">
      <c r="B374">
        <v>-16</v>
      </c>
      <c r="C374" s="240">
        <f t="shared" si="78"/>
        <v>2.3384313725490196</v>
      </c>
      <c r="D374">
        <f t="shared" si="80"/>
        <v>0</v>
      </c>
      <c r="E374">
        <v>0</v>
      </c>
      <c r="F374" s="241">
        <f t="shared" si="79"/>
        <v>0</v>
      </c>
    </row>
    <row r="375" spans="1:6">
      <c r="B375">
        <v>-15</v>
      </c>
      <c r="C375" s="240">
        <f t="shared" si="78"/>
        <v>2.3851999999999998</v>
      </c>
      <c r="D375">
        <f t="shared" si="80"/>
        <v>0</v>
      </c>
      <c r="E375">
        <v>0</v>
      </c>
      <c r="F375" s="241">
        <f t="shared" si="79"/>
        <v>0</v>
      </c>
    </row>
    <row r="376" spans="1:6">
      <c r="B376">
        <v>-14</v>
      </c>
      <c r="C376" s="240">
        <f t="shared" si="78"/>
        <v>2.4338775510204083</v>
      </c>
      <c r="D376">
        <f t="shared" si="80"/>
        <v>0</v>
      </c>
      <c r="E376">
        <v>0</v>
      </c>
      <c r="F376" s="241">
        <f t="shared" si="79"/>
        <v>0</v>
      </c>
    </row>
    <row r="377" spans="1:6">
      <c r="B377">
        <v>-13</v>
      </c>
      <c r="C377" s="240">
        <f t="shared" si="78"/>
        <v>2.4845833333333331</v>
      </c>
      <c r="D377">
        <f t="shared" si="80"/>
        <v>0</v>
      </c>
      <c r="E377">
        <v>0</v>
      </c>
      <c r="F377" s="241">
        <f t="shared" si="79"/>
        <v>0</v>
      </c>
    </row>
    <row r="378" spans="1:6">
      <c r="B378">
        <v>-12</v>
      </c>
      <c r="C378" s="240">
        <f t="shared" si="78"/>
        <v>2.5374468085106385</v>
      </c>
      <c r="D378">
        <f t="shared" si="80"/>
        <v>0</v>
      </c>
      <c r="E378">
        <v>0</v>
      </c>
      <c r="F378" s="241">
        <f t="shared" si="79"/>
        <v>0</v>
      </c>
    </row>
    <row r="379" spans="1:6">
      <c r="B379">
        <v>-11</v>
      </c>
      <c r="C379" s="240">
        <f t="shared" si="78"/>
        <v>2.5926086956521739</v>
      </c>
      <c r="D379">
        <f>E379-E378</f>
        <v>10</v>
      </c>
      <c r="E379">
        <v>10</v>
      </c>
      <c r="F379" s="241">
        <f>+$D$7/C379*D379</f>
        <v>0</v>
      </c>
    </row>
    <row r="380" spans="1:6">
      <c r="B380">
        <v>-10</v>
      </c>
      <c r="C380" s="240">
        <f t="shared" si="78"/>
        <v>2.6502222222222223</v>
      </c>
      <c r="D380">
        <f t="shared" ref="D380:D393" si="81">E380-E379</f>
        <v>10</v>
      </c>
      <c r="E380">
        <v>20</v>
      </c>
      <c r="F380" s="241">
        <f t="shared" ref="F380:F393" si="82">+$D$7/C380*D380</f>
        <v>0</v>
      </c>
    </row>
    <row r="381" spans="1:6">
      <c r="B381">
        <v>-9</v>
      </c>
      <c r="C381" s="240">
        <f t="shared" si="78"/>
        <v>2.7104545454545454</v>
      </c>
      <c r="D381">
        <f t="shared" si="81"/>
        <v>20</v>
      </c>
      <c r="E381">
        <v>40</v>
      </c>
      <c r="F381" s="241">
        <f t="shared" si="82"/>
        <v>0</v>
      </c>
    </row>
    <row r="382" spans="1:6">
      <c r="B382">
        <v>-8</v>
      </c>
      <c r="C382" s="240">
        <f t="shared" si="78"/>
        <v>2.7734883720930235</v>
      </c>
      <c r="D382">
        <f t="shared" si="81"/>
        <v>20</v>
      </c>
      <c r="E382">
        <v>60</v>
      </c>
      <c r="F382" s="241">
        <f t="shared" si="82"/>
        <v>0</v>
      </c>
    </row>
    <row r="383" spans="1:6">
      <c r="B383">
        <v>-7</v>
      </c>
      <c r="C383" s="240">
        <f t="shared" si="78"/>
        <v>2.8395238095238096</v>
      </c>
      <c r="D383">
        <f t="shared" si="81"/>
        <v>20</v>
      </c>
      <c r="E383">
        <v>80</v>
      </c>
      <c r="F383" s="241">
        <f t="shared" si="82"/>
        <v>0</v>
      </c>
    </row>
    <row r="384" spans="1:6">
      <c r="B384">
        <v>-6</v>
      </c>
      <c r="C384" s="240">
        <f t="shared" si="78"/>
        <v>2.908780487804878</v>
      </c>
      <c r="D384">
        <f t="shared" si="81"/>
        <v>50</v>
      </c>
      <c r="E384">
        <v>130</v>
      </c>
      <c r="F384" s="241">
        <f t="shared" si="82"/>
        <v>0</v>
      </c>
    </row>
    <row r="385" spans="1:6">
      <c r="B385">
        <v>-5</v>
      </c>
      <c r="C385" s="240">
        <f t="shared" si="78"/>
        <v>2.9815</v>
      </c>
      <c r="D385">
        <f t="shared" si="81"/>
        <v>70</v>
      </c>
      <c r="E385">
        <v>200</v>
      </c>
      <c r="F385" s="241">
        <f t="shared" si="82"/>
        <v>0</v>
      </c>
    </row>
    <row r="386" spans="1:6">
      <c r="B386">
        <v>-4</v>
      </c>
      <c r="C386" s="240">
        <f t="shared" si="78"/>
        <v>3.0579487179487179</v>
      </c>
      <c r="D386">
        <f t="shared" si="81"/>
        <v>50</v>
      </c>
      <c r="E386">
        <v>250</v>
      </c>
      <c r="F386" s="241">
        <f t="shared" si="82"/>
        <v>0</v>
      </c>
    </row>
    <row r="387" spans="1:6">
      <c r="B387">
        <v>-3</v>
      </c>
      <c r="C387" s="240">
        <f t="shared" si="78"/>
        <v>3.1384210526315788</v>
      </c>
      <c r="D387">
        <f t="shared" si="81"/>
        <v>50</v>
      </c>
      <c r="E387">
        <v>300</v>
      </c>
      <c r="F387" s="241">
        <f t="shared" si="82"/>
        <v>0</v>
      </c>
    </row>
    <row r="388" spans="1:6">
      <c r="B388">
        <v>-2</v>
      </c>
      <c r="C388" s="240">
        <f t="shared" si="78"/>
        <v>3.2232432432432434</v>
      </c>
      <c r="D388">
        <f t="shared" si="81"/>
        <v>140</v>
      </c>
      <c r="E388">
        <f>160+280</f>
        <v>440</v>
      </c>
      <c r="F388" s="241">
        <f t="shared" si="82"/>
        <v>0</v>
      </c>
    </row>
    <row r="389" spans="1:6">
      <c r="B389">
        <v>-1</v>
      </c>
      <c r="C389" s="240">
        <f t="shared" si="78"/>
        <v>3.3127777777777774</v>
      </c>
      <c r="D389">
        <f t="shared" si="81"/>
        <v>180</v>
      </c>
      <c r="E389">
        <f>240+380</f>
        <v>620</v>
      </c>
      <c r="F389" s="241">
        <f t="shared" si="82"/>
        <v>0</v>
      </c>
    </row>
    <row r="390" spans="1:6">
      <c r="B390">
        <v>0</v>
      </c>
      <c r="C390" s="240">
        <f t="shared" si="78"/>
        <v>3.4074285714285715</v>
      </c>
      <c r="D390">
        <f t="shared" si="81"/>
        <v>280</v>
      </c>
      <c r="E390">
        <f>550+350</f>
        <v>900</v>
      </c>
      <c r="F390" s="241">
        <f t="shared" si="82"/>
        <v>0</v>
      </c>
    </row>
    <row r="391" spans="1:6">
      <c r="B391">
        <v>1</v>
      </c>
      <c r="C391" s="240">
        <f t="shared" si="78"/>
        <v>3.5076470588235291</v>
      </c>
      <c r="D391">
        <f t="shared" si="81"/>
        <v>400</v>
      </c>
      <c r="E391">
        <f>800+500</f>
        <v>1300</v>
      </c>
      <c r="F391" s="241">
        <f t="shared" si="82"/>
        <v>0</v>
      </c>
    </row>
    <row r="392" spans="1:6">
      <c r="B392">
        <v>2</v>
      </c>
      <c r="C392" s="240">
        <f t="shared" si="78"/>
        <v>3.6139393939393933</v>
      </c>
      <c r="D392">
        <f t="shared" si="81"/>
        <v>380</v>
      </c>
      <c r="E392">
        <f>1000+680</f>
        <v>1680</v>
      </c>
      <c r="F392" s="241">
        <f t="shared" si="82"/>
        <v>0</v>
      </c>
    </row>
    <row r="393" spans="1:6">
      <c r="B393">
        <v>3</v>
      </c>
      <c r="C393" s="240">
        <f t="shared" si="78"/>
        <v>3.7268749999999997</v>
      </c>
      <c r="D393">
        <f t="shared" si="81"/>
        <v>370</v>
      </c>
      <c r="E393">
        <f>1200+850</f>
        <v>2050</v>
      </c>
      <c r="F393" s="241">
        <f t="shared" si="82"/>
        <v>0</v>
      </c>
    </row>
    <row r="394" spans="1:6">
      <c r="F394" s="241">
        <f>SUM(F372:F393)</f>
        <v>0</v>
      </c>
    </row>
    <row r="396" spans="1:6">
      <c r="A396" t="s">
        <v>527</v>
      </c>
      <c r="B396" t="s">
        <v>495</v>
      </c>
      <c r="C396" t="s">
        <v>496</v>
      </c>
      <c r="D396" t="s">
        <v>497</v>
      </c>
      <c r="F396" t="s">
        <v>498</v>
      </c>
    </row>
    <row r="397" spans="1:6">
      <c r="B397">
        <v>-18</v>
      </c>
      <c r="C397" s="240">
        <f t="shared" ref="C397:C418" si="83">+($D$4+$D$3)/($D$4-(B397-$D$5))*$D$6</f>
        <v>2.2501886792452832</v>
      </c>
      <c r="D397">
        <f>E397</f>
        <v>0</v>
      </c>
      <c r="E397">
        <v>0</v>
      </c>
      <c r="F397" s="241">
        <f t="shared" ref="F397:F403" si="84">+$D$7/C397*D397</f>
        <v>0</v>
      </c>
    </row>
    <row r="398" spans="1:6">
      <c r="B398">
        <v>-17</v>
      </c>
      <c r="C398" s="240">
        <f t="shared" si="83"/>
        <v>2.2934615384615387</v>
      </c>
      <c r="D398">
        <f t="shared" ref="D398:D403" si="85">E398-E397</f>
        <v>0</v>
      </c>
      <c r="E398">
        <v>0</v>
      </c>
      <c r="F398" s="241">
        <f t="shared" si="84"/>
        <v>0</v>
      </c>
    </row>
    <row r="399" spans="1:6">
      <c r="B399">
        <v>-16</v>
      </c>
      <c r="C399" s="240">
        <f t="shared" si="83"/>
        <v>2.3384313725490196</v>
      </c>
      <c r="D399">
        <f t="shared" si="85"/>
        <v>0</v>
      </c>
      <c r="E399">
        <v>0</v>
      </c>
      <c r="F399" s="241">
        <f t="shared" si="84"/>
        <v>0</v>
      </c>
    </row>
    <row r="400" spans="1:6">
      <c r="B400">
        <v>-15</v>
      </c>
      <c r="C400" s="240">
        <f t="shared" si="83"/>
        <v>2.3851999999999998</v>
      </c>
      <c r="D400">
        <f t="shared" si="85"/>
        <v>0</v>
      </c>
      <c r="E400">
        <v>0</v>
      </c>
      <c r="F400" s="241">
        <f t="shared" si="84"/>
        <v>0</v>
      </c>
    </row>
    <row r="401" spans="2:6">
      <c r="B401">
        <v>-14</v>
      </c>
      <c r="C401" s="240">
        <f t="shared" si="83"/>
        <v>2.4338775510204083</v>
      </c>
      <c r="D401">
        <f t="shared" si="85"/>
        <v>0</v>
      </c>
      <c r="E401">
        <v>0</v>
      </c>
      <c r="F401" s="241">
        <f t="shared" si="84"/>
        <v>0</v>
      </c>
    </row>
    <row r="402" spans="2:6">
      <c r="B402">
        <v>-13</v>
      </c>
      <c r="C402" s="240">
        <f t="shared" si="83"/>
        <v>2.4845833333333331</v>
      </c>
      <c r="D402">
        <f t="shared" si="85"/>
        <v>0</v>
      </c>
      <c r="E402">
        <v>0</v>
      </c>
      <c r="F402" s="241">
        <f t="shared" si="84"/>
        <v>0</v>
      </c>
    </row>
    <row r="403" spans="2:6">
      <c r="B403">
        <v>-12</v>
      </c>
      <c r="C403" s="240">
        <f t="shared" si="83"/>
        <v>2.5374468085106385</v>
      </c>
      <c r="D403">
        <f t="shared" si="85"/>
        <v>0</v>
      </c>
      <c r="E403">
        <v>0</v>
      </c>
      <c r="F403" s="241">
        <f t="shared" si="84"/>
        <v>0</v>
      </c>
    </row>
    <row r="404" spans="2:6">
      <c r="B404">
        <v>-11</v>
      </c>
      <c r="C404" s="240">
        <f t="shared" si="83"/>
        <v>2.5926086956521739</v>
      </c>
      <c r="D404">
        <f>E404-E403</f>
        <v>0</v>
      </c>
      <c r="E404">
        <v>0</v>
      </c>
      <c r="F404" s="241">
        <f>+$D$7/C404*D404</f>
        <v>0</v>
      </c>
    </row>
    <row r="405" spans="2:6">
      <c r="B405">
        <v>-10</v>
      </c>
      <c r="C405" s="240">
        <f t="shared" si="83"/>
        <v>2.6502222222222223</v>
      </c>
      <c r="D405">
        <f t="shared" ref="D405:D418" si="86">E405-E404</f>
        <v>0</v>
      </c>
      <c r="E405">
        <v>0</v>
      </c>
      <c r="F405" s="241">
        <f t="shared" ref="F405:F418" si="87">+$D$7/C405*D405</f>
        <v>0</v>
      </c>
    </row>
    <row r="406" spans="2:6">
      <c r="B406">
        <v>-9</v>
      </c>
      <c r="C406" s="240">
        <f t="shared" si="83"/>
        <v>2.7104545454545454</v>
      </c>
      <c r="D406">
        <f t="shared" si="86"/>
        <v>10</v>
      </c>
      <c r="E406">
        <v>10</v>
      </c>
      <c r="F406" s="241">
        <f t="shared" si="87"/>
        <v>0</v>
      </c>
    </row>
    <row r="407" spans="2:6">
      <c r="B407">
        <v>-8</v>
      </c>
      <c r="C407" s="240">
        <f t="shared" si="83"/>
        <v>2.7734883720930235</v>
      </c>
      <c r="D407">
        <f t="shared" si="86"/>
        <v>20</v>
      </c>
      <c r="E407">
        <v>30</v>
      </c>
      <c r="F407" s="241">
        <f t="shared" si="87"/>
        <v>0</v>
      </c>
    </row>
    <row r="408" spans="2:6">
      <c r="B408">
        <v>-7</v>
      </c>
      <c r="C408" s="240">
        <f t="shared" si="83"/>
        <v>2.8395238095238096</v>
      </c>
      <c r="D408">
        <f t="shared" si="86"/>
        <v>50</v>
      </c>
      <c r="E408">
        <v>80</v>
      </c>
      <c r="F408" s="241">
        <f t="shared" si="87"/>
        <v>0</v>
      </c>
    </row>
    <row r="409" spans="2:6">
      <c r="B409">
        <v>-6</v>
      </c>
      <c r="C409" s="240">
        <f t="shared" si="83"/>
        <v>2.908780487804878</v>
      </c>
      <c r="D409">
        <f t="shared" si="86"/>
        <v>60</v>
      </c>
      <c r="E409">
        <v>140</v>
      </c>
      <c r="F409" s="241">
        <f t="shared" si="87"/>
        <v>0</v>
      </c>
    </row>
    <row r="410" spans="2:6">
      <c r="B410">
        <v>-5</v>
      </c>
      <c r="C410" s="240">
        <f t="shared" si="83"/>
        <v>2.9815</v>
      </c>
      <c r="D410">
        <f t="shared" si="86"/>
        <v>60</v>
      </c>
      <c r="E410">
        <v>200</v>
      </c>
      <c r="F410" s="241">
        <f t="shared" si="87"/>
        <v>0</v>
      </c>
    </row>
    <row r="411" spans="2:6">
      <c r="B411">
        <v>-4</v>
      </c>
      <c r="C411" s="240">
        <f t="shared" si="83"/>
        <v>3.0579487179487179</v>
      </c>
      <c r="D411">
        <f t="shared" si="86"/>
        <v>90</v>
      </c>
      <c r="E411">
        <v>290</v>
      </c>
      <c r="F411" s="241">
        <f t="shared" si="87"/>
        <v>0</v>
      </c>
    </row>
    <row r="412" spans="2:6">
      <c r="B412">
        <v>-3</v>
      </c>
      <c r="C412" s="240">
        <f t="shared" si="83"/>
        <v>3.1384210526315788</v>
      </c>
      <c r="D412">
        <f t="shared" si="86"/>
        <v>90</v>
      </c>
      <c r="E412">
        <f>260+120</f>
        <v>380</v>
      </c>
      <c r="F412" s="241">
        <f t="shared" si="87"/>
        <v>0</v>
      </c>
    </row>
    <row r="413" spans="2:6">
      <c r="B413">
        <v>-2</v>
      </c>
      <c r="C413" s="240">
        <f t="shared" si="83"/>
        <v>3.2232432432432434</v>
      </c>
      <c r="D413">
        <f t="shared" si="86"/>
        <v>150</v>
      </c>
      <c r="E413">
        <f>350+180</f>
        <v>530</v>
      </c>
      <c r="F413" s="241">
        <f t="shared" si="87"/>
        <v>0</v>
      </c>
    </row>
    <row r="414" spans="2:6">
      <c r="B414">
        <v>-1</v>
      </c>
      <c r="C414" s="240">
        <f t="shared" si="83"/>
        <v>3.3127777777777774</v>
      </c>
      <c r="D414">
        <f t="shared" si="86"/>
        <v>200</v>
      </c>
      <c r="E414">
        <f>480+250</f>
        <v>730</v>
      </c>
      <c r="F414" s="241">
        <f t="shared" si="87"/>
        <v>0</v>
      </c>
    </row>
    <row r="415" spans="2:6">
      <c r="B415">
        <v>0</v>
      </c>
      <c r="C415" s="240">
        <f t="shared" si="83"/>
        <v>3.4074285714285715</v>
      </c>
      <c r="D415">
        <f t="shared" si="86"/>
        <v>270</v>
      </c>
      <c r="E415">
        <f>650+350</f>
        <v>1000</v>
      </c>
      <c r="F415" s="241">
        <f t="shared" si="87"/>
        <v>0</v>
      </c>
    </row>
    <row r="416" spans="2:6">
      <c r="B416">
        <v>1</v>
      </c>
      <c r="C416" s="240">
        <f t="shared" si="83"/>
        <v>3.5076470588235291</v>
      </c>
      <c r="D416">
        <f t="shared" si="86"/>
        <v>380</v>
      </c>
      <c r="E416">
        <f>900+480</f>
        <v>1380</v>
      </c>
      <c r="F416" s="241">
        <f t="shared" si="87"/>
        <v>0</v>
      </c>
    </row>
    <row r="417" spans="1:6">
      <c r="B417">
        <v>2</v>
      </c>
      <c r="C417" s="240">
        <f t="shared" si="83"/>
        <v>3.6139393939393933</v>
      </c>
      <c r="D417">
        <f t="shared" si="86"/>
        <v>320</v>
      </c>
      <c r="E417">
        <f>1100+600</f>
        <v>1700</v>
      </c>
      <c r="F417" s="241">
        <f t="shared" si="87"/>
        <v>0</v>
      </c>
    </row>
    <row r="418" spans="1:6">
      <c r="B418">
        <v>3</v>
      </c>
      <c r="C418" s="240">
        <f t="shared" si="83"/>
        <v>3.7268749999999997</v>
      </c>
      <c r="D418">
        <f t="shared" si="86"/>
        <v>350</v>
      </c>
      <c r="E418">
        <f>1300+750</f>
        <v>2050</v>
      </c>
      <c r="F418" s="241">
        <f t="shared" si="87"/>
        <v>0</v>
      </c>
    </row>
    <row r="419" spans="1:6">
      <c r="F419" s="241">
        <f>SUM(F397:F418)</f>
        <v>0</v>
      </c>
    </row>
    <row r="421" spans="1:6">
      <c r="A421" t="s">
        <v>530</v>
      </c>
      <c r="B421" t="s">
        <v>495</v>
      </c>
      <c r="C421" t="s">
        <v>496</v>
      </c>
      <c r="D421" t="s">
        <v>497</v>
      </c>
      <c r="F421" t="s">
        <v>498</v>
      </c>
    </row>
    <row r="422" spans="1:6">
      <c r="B422">
        <v>-18</v>
      </c>
      <c r="C422" s="240">
        <f t="shared" ref="C422:C443" si="88">+($D$4+$D$3)/($D$4-(B422-$D$5))*$D$6</f>
        <v>2.2501886792452832</v>
      </c>
      <c r="D422">
        <f>E422</f>
        <v>0</v>
      </c>
      <c r="E422">
        <v>0</v>
      </c>
      <c r="F422" s="241">
        <f t="shared" ref="F422:F428" si="89">+$D$7/C422*D422</f>
        <v>0</v>
      </c>
    </row>
    <row r="423" spans="1:6">
      <c r="B423">
        <v>-17</v>
      </c>
      <c r="C423" s="240">
        <f t="shared" si="88"/>
        <v>2.2934615384615387</v>
      </c>
      <c r="D423">
        <f t="shared" ref="D423:D428" si="90">E423-E422</f>
        <v>10</v>
      </c>
      <c r="E423">
        <v>10</v>
      </c>
      <c r="F423" s="241">
        <f t="shared" si="89"/>
        <v>0</v>
      </c>
    </row>
    <row r="424" spans="1:6">
      <c r="B424">
        <v>-16</v>
      </c>
      <c r="C424" s="240">
        <f t="shared" si="88"/>
        <v>2.3384313725490196</v>
      </c>
      <c r="D424">
        <f t="shared" si="90"/>
        <v>10</v>
      </c>
      <c r="E424">
        <v>20</v>
      </c>
      <c r="F424" s="241">
        <f t="shared" si="89"/>
        <v>0</v>
      </c>
    </row>
    <row r="425" spans="1:6">
      <c r="B425">
        <v>-15</v>
      </c>
      <c r="C425" s="240">
        <f t="shared" si="88"/>
        <v>2.3851999999999998</v>
      </c>
      <c r="D425">
        <f t="shared" si="90"/>
        <v>20</v>
      </c>
      <c r="E425">
        <v>40</v>
      </c>
      <c r="F425" s="241">
        <f t="shared" si="89"/>
        <v>0</v>
      </c>
    </row>
    <row r="426" spans="1:6">
      <c r="B426">
        <v>-14</v>
      </c>
      <c r="C426" s="240">
        <f t="shared" si="88"/>
        <v>2.4338775510204083</v>
      </c>
      <c r="D426">
        <f t="shared" si="90"/>
        <v>40</v>
      </c>
      <c r="E426">
        <v>80</v>
      </c>
      <c r="F426" s="241">
        <f t="shared" si="89"/>
        <v>0</v>
      </c>
    </row>
    <row r="427" spans="1:6">
      <c r="B427">
        <v>-13</v>
      </c>
      <c r="C427" s="240">
        <f t="shared" si="88"/>
        <v>2.4845833333333331</v>
      </c>
      <c r="D427">
        <f t="shared" si="90"/>
        <v>40</v>
      </c>
      <c r="E427">
        <v>120</v>
      </c>
      <c r="F427" s="241">
        <f t="shared" si="89"/>
        <v>0</v>
      </c>
    </row>
    <row r="428" spans="1:6">
      <c r="B428">
        <v>-12</v>
      </c>
      <c r="C428" s="240">
        <f t="shared" si="88"/>
        <v>2.5374468085106385</v>
      </c>
      <c r="D428">
        <f t="shared" si="90"/>
        <v>90</v>
      </c>
      <c r="E428">
        <f>130+80</f>
        <v>210</v>
      </c>
      <c r="F428" s="241">
        <f t="shared" si="89"/>
        <v>0</v>
      </c>
    </row>
    <row r="429" spans="1:6">
      <c r="B429">
        <v>-11</v>
      </c>
      <c r="C429" s="240">
        <f t="shared" si="88"/>
        <v>2.5926086956521739</v>
      </c>
      <c r="D429">
        <f>E429-E428</f>
        <v>60</v>
      </c>
      <c r="E429">
        <f>180+90</f>
        <v>270</v>
      </c>
      <c r="F429" s="241">
        <f>+$D$7/C429*D429</f>
        <v>0</v>
      </c>
    </row>
    <row r="430" spans="1:6">
      <c r="B430">
        <v>-10</v>
      </c>
      <c r="C430" s="240">
        <f t="shared" si="88"/>
        <v>2.6502222222222223</v>
      </c>
      <c r="D430">
        <f t="shared" ref="D430:D443" si="91">E430-E429</f>
        <v>50</v>
      </c>
      <c r="E430">
        <f>200+120</f>
        <v>320</v>
      </c>
      <c r="F430" s="241">
        <f t="shared" ref="F430:F443" si="92">+$D$7/C430*D430</f>
        <v>0</v>
      </c>
    </row>
    <row r="431" spans="1:6">
      <c r="B431">
        <v>-9</v>
      </c>
      <c r="C431" s="240">
        <f t="shared" si="88"/>
        <v>2.7104545454545454</v>
      </c>
      <c r="D431">
        <f t="shared" si="91"/>
        <v>60</v>
      </c>
      <c r="E431">
        <f>250+130</f>
        <v>380</v>
      </c>
      <c r="F431" s="241">
        <f t="shared" si="92"/>
        <v>0</v>
      </c>
    </row>
    <row r="432" spans="1:6">
      <c r="B432">
        <v>-8</v>
      </c>
      <c r="C432" s="240">
        <f t="shared" si="88"/>
        <v>2.7734883720930235</v>
      </c>
      <c r="D432">
        <f t="shared" si="91"/>
        <v>100</v>
      </c>
      <c r="E432">
        <f>300+180</f>
        <v>480</v>
      </c>
      <c r="F432" s="241">
        <f t="shared" si="92"/>
        <v>0</v>
      </c>
    </row>
    <row r="433" spans="1:6">
      <c r="B433">
        <v>-7</v>
      </c>
      <c r="C433" s="240">
        <f t="shared" si="88"/>
        <v>2.8395238095238096</v>
      </c>
      <c r="D433">
        <f t="shared" si="91"/>
        <v>60</v>
      </c>
      <c r="E433">
        <f>320+220</f>
        <v>540</v>
      </c>
      <c r="F433" s="241">
        <f t="shared" si="92"/>
        <v>0</v>
      </c>
    </row>
    <row r="434" spans="1:6">
      <c r="B434">
        <v>-6</v>
      </c>
      <c r="C434" s="240">
        <f t="shared" si="88"/>
        <v>2.908780487804878</v>
      </c>
      <c r="D434">
        <f t="shared" si="91"/>
        <v>130</v>
      </c>
      <c r="E434">
        <f>420+250</f>
        <v>670</v>
      </c>
      <c r="F434" s="241">
        <f t="shared" si="92"/>
        <v>0</v>
      </c>
    </row>
    <row r="435" spans="1:6">
      <c r="B435">
        <v>-5</v>
      </c>
      <c r="C435" s="240">
        <f t="shared" si="88"/>
        <v>2.9815</v>
      </c>
      <c r="D435">
        <f t="shared" si="91"/>
        <v>270</v>
      </c>
      <c r="E435">
        <f>580+360</f>
        <v>940</v>
      </c>
      <c r="F435" s="241">
        <f t="shared" si="92"/>
        <v>0</v>
      </c>
    </row>
    <row r="436" spans="1:6">
      <c r="B436">
        <v>-4</v>
      </c>
      <c r="C436" s="240">
        <f t="shared" si="88"/>
        <v>3.0579487179487179</v>
      </c>
      <c r="D436">
        <f t="shared" si="91"/>
        <v>290</v>
      </c>
      <c r="E436">
        <f>750+480</f>
        <v>1230</v>
      </c>
      <c r="F436" s="241">
        <f t="shared" si="92"/>
        <v>0</v>
      </c>
    </row>
    <row r="437" spans="1:6">
      <c r="B437">
        <v>-3</v>
      </c>
      <c r="C437" s="240">
        <f t="shared" si="88"/>
        <v>3.1384210526315788</v>
      </c>
      <c r="D437">
        <f t="shared" si="91"/>
        <v>370</v>
      </c>
      <c r="E437">
        <f>1000+600</f>
        <v>1600</v>
      </c>
      <c r="F437" s="241">
        <f t="shared" si="92"/>
        <v>0</v>
      </c>
    </row>
    <row r="438" spans="1:6">
      <c r="B438">
        <v>-2</v>
      </c>
      <c r="C438" s="240">
        <f t="shared" si="88"/>
        <v>3.2232432432432434</v>
      </c>
      <c r="D438">
        <f t="shared" si="91"/>
        <v>350</v>
      </c>
      <c r="E438">
        <f>1200+750</f>
        <v>1950</v>
      </c>
      <c r="F438" s="241">
        <f t="shared" si="92"/>
        <v>0</v>
      </c>
    </row>
    <row r="439" spans="1:6">
      <c r="B439">
        <v>-1</v>
      </c>
      <c r="C439" s="240">
        <f t="shared" si="88"/>
        <v>3.3127777777777774</v>
      </c>
      <c r="D439">
        <f t="shared" si="91"/>
        <v>450</v>
      </c>
      <c r="E439">
        <f>1500+900</f>
        <v>2400</v>
      </c>
      <c r="F439" s="241">
        <f t="shared" si="92"/>
        <v>0</v>
      </c>
    </row>
    <row r="440" spans="1:6">
      <c r="B440">
        <v>0</v>
      </c>
      <c r="C440" s="240">
        <f t="shared" si="88"/>
        <v>3.4074285714285715</v>
      </c>
      <c r="D440">
        <f t="shared" si="91"/>
        <v>450</v>
      </c>
      <c r="E440">
        <f>1750+1100</f>
        <v>2850</v>
      </c>
      <c r="F440" s="241">
        <f t="shared" si="92"/>
        <v>0</v>
      </c>
    </row>
    <row r="441" spans="1:6">
      <c r="B441">
        <v>1</v>
      </c>
      <c r="C441" s="240">
        <f t="shared" si="88"/>
        <v>3.5076470588235291</v>
      </c>
      <c r="D441">
        <f t="shared" si="91"/>
        <v>500</v>
      </c>
      <c r="E441">
        <f>2050+1300</f>
        <v>3350</v>
      </c>
      <c r="F441" s="241">
        <f t="shared" si="92"/>
        <v>0</v>
      </c>
    </row>
    <row r="442" spans="1:6">
      <c r="B442">
        <v>2</v>
      </c>
      <c r="C442" s="240">
        <f t="shared" si="88"/>
        <v>3.6139393939393933</v>
      </c>
      <c r="D442">
        <f t="shared" si="91"/>
        <v>400</v>
      </c>
      <c r="E442">
        <f>2250+1500</f>
        <v>3750</v>
      </c>
      <c r="F442" s="241">
        <f t="shared" si="92"/>
        <v>0</v>
      </c>
    </row>
    <row r="443" spans="1:6">
      <c r="B443">
        <v>3</v>
      </c>
      <c r="C443" s="240">
        <f t="shared" si="88"/>
        <v>3.7268749999999997</v>
      </c>
      <c r="D443">
        <f t="shared" si="91"/>
        <v>350</v>
      </c>
      <c r="E443">
        <f>2400+1700</f>
        <v>4100</v>
      </c>
      <c r="F443" s="241">
        <f t="shared" si="92"/>
        <v>0</v>
      </c>
    </row>
    <row r="444" spans="1:6">
      <c r="F444" s="241">
        <f>SUM(F422:F443)</f>
        <v>0</v>
      </c>
    </row>
    <row r="446" spans="1:6">
      <c r="A446" t="s">
        <v>528</v>
      </c>
      <c r="B446" t="s">
        <v>495</v>
      </c>
      <c r="C446" t="s">
        <v>496</v>
      </c>
      <c r="D446" t="s">
        <v>497</v>
      </c>
      <c r="F446" t="s">
        <v>498</v>
      </c>
    </row>
    <row r="447" spans="1:6">
      <c r="B447">
        <v>-18</v>
      </c>
      <c r="C447" s="240">
        <f t="shared" ref="C447:C468" si="93">+($D$4+$D$3)/($D$4-(B447-$D$5))*$D$6</f>
        <v>2.2501886792452832</v>
      </c>
      <c r="D447">
        <f>E447</f>
        <v>0</v>
      </c>
      <c r="E447">
        <v>0</v>
      </c>
      <c r="F447" s="241">
        <f t="shared" ref="F447:F453" si="94">+$D$7/C447*D447</f>
        <v>0</v>
      </c>
    </row>
    <row r="448" spans="1:6">
      <c r="B448">
        <v>-17</v>
      </c>
      <c r="C448" s="240">
        <f t="shared" si="93"/>
        <v>2.2934615384615387</v>
      </c>
      <c r="D448">
        <f t="shared" ref="D448:D453" si="95">E448-E447</f>
        <v>0</v>
      </c>
      <c r="E448">
        <v>0</v>
      </c>
      <c r="F448" s="241">
        <f t="shared" si="94"/>
        <v>0</v>
      </c>
    </row>
    <row r="449" spans="2:6">
      <c r="B449">
        <v>-16</v>
      </c>
      <c r="C449" s="240">
        <f t="shared" si="93"/>
        <v>2.3384313725490196</v>
      </c>
      <c r="D449">
        <f t="shared" si="95"/>
        <v>0</v>
      </c>
      <c r="E449">
        <v>0</v>
      </c>
      <c r="F449" s="241">
        <f t="shared" si="94"/>
        <v>0</v>
      </c>
    </row>
    <row r="450" spans="2:6">
      <c r="B450">
        <v>-15</v>
      </c>
      <c r="C450" s="240">
        <f t="shared" si="93"/>
        <v>2.3851999999999998</v>
      </c>
      <c r="D450">
        <f t="shared" si="95"/>
        <v>0</v>
      </c>
      <c r="E450">
        <v>0</v>
      </c>
      <c r="F450" s="241">
        <f t="shared" si="94"/>
        <v>0</v>
      </c>
    </row>
    <row r="451" spans="2:6">
      <c r="B451">
        <v>-14</v>
      </c>
      <c r="C451" s="240">
        <f t="shared" si="93"/>
        <v>2.4338775510204083</v>
      </c>
      <c r="D451">
        <f t="shared" si="95"/>
        <v>0</v>
      </c>
      <c r="E451">
        <v>0</v>
      </c>
      <c r="F451" s="241">
        <f t="shared" si="94"/>
        <v>0</v>
      </c>
    </row>
    <row r="452" spans="2:6">
      <c r="B452">
        <v>-13</v>
      </c>
      <c r="C452" s="240">
        <f t="shared" si="93"/>
        <v>2.4845833333333331</v>
      </c>
      <c r="D452">
        <f t="shared" si="95"/>
        <v>0</v>
      </c>
      <c r="E452">
        <v>0</v>
      </c>
      <c r="F452" s="241">
        <f t="shared" si="94"/>
        <v>0</v>
      </c>
    </row>
    <row r="453" spans="2:6">
      <c r="B453">
        <v>-12</v>
      </c>
      <c r="C453" s="240">
        <f t="shared" si="93"/>
        <v>2.5374468085106385</v>
      </c>
      <c r="D453">
        <f t="shared" si="95"/>
        <v>10</v>
      </c>
      <c r="E453">
        <v>10</v>
      </c>
      <c r="F453" s="241">
        <f t="shared" si="94"/>
        <v>0</v>
      </c>
    </row>
    <row r="454" spans="2:6">
      <c r="B454">
        <v>-11</v>
      </c>
      <c r="C454" s="240">
        <f t="shared" si="93"/>
        <v>2.5926086956521739</v>
      </c>
      <c r="D454">
        <f>E454-E453</f>
        <v>0</v>
      </c>
      <c r="E454">
        <v>10</v>
      </c>
      <c r="F454" s="241">
        <f>+$D$7/C454*D454</f>
        <v>0</v>
      </c>
    </row>
    <row r="455" spans="2:6">
      <c r="B455">
        <v>-10</v>
      </c>
      <c r="C455" s="240">
        <f t="shared" si="93"/>
        <v>2.6502222222222223</v>
      </c>
      <c r="D455">
        <f t="shared" ref="D455:D468" si="96">E455-E454</f>
        <v>10</v>
      </c>
      <c r="E455">
        <v>20</v>
      </c>
      <c r="F455" s="241">
        <f t="shared" ref="F455:F468" si="97">+$D$7/C455*D455</f>
        <v>0</v>
      </c>
    </row>
    <row r="456" spans="2:6">
      <c r="B456">
        <v>-9</v>
      </c>
      <c r="C456" s="240">
        <f t="shared" si="93"/>
        <v>2.7104545454545454</v>
      </c>
      <c r="D456">
        <f t="shared" si="96"/>
        <v>10</v>
      </c>
      <c r="E456">
        <v>30</v>
      </c>
      <c r="F456" s="241">
        <f t="shared" si="97"/>
        <v>0</v>
      </c>
    </row>
    <row r="457" spans="2:6">
      <c r="B457">
        <v>-8</v>
      </c>
      <c r="C457" s="240">
        <f t="shared" si="93"/>
        <v>2.7734883720930235</v>
      </c>
      <c r="D457">
        <f t="shared" si="96"/>
        <v>70</v>
      </c>
      <c r="E457">
        <v>100</v>
      </c>
      <c r="F457" s="241">
        <f t="shared" si="97"/>
        <v>0</v>
      </c>
    </row>
    <row r="458" spans="2:6">
      <c r="B458">
        <v>-7</v>
      </c>
      <c r="C458" s="240">
        <f t="shared" si="93"/>
        <v>2.8395238095238096</v>
      </c>
      <c r="D458">
        <f t="shared" si="96"/>
        <v>30</v>
      </c>
      <c r="E458">
        <v>130</v>
      </c>
      <c r="F458" s="241">
        <f t="shared" si="97"/>
        <v>0</v>
      </c>
    </row>
    <row r="459" spans="2:6">
      <c r="B459">
        <v>-6</v>
      </c>
      <c r="C459" s="240">
        <f t="shared" si="93"/>
        <v>2.908780487804878</v>
      </c>
      <c r="D459">
        <f t="shared" si="96"/>
        <v>70</v>
      </c>
      <c r="E459">
        <v>200</v>
      </c>
      <c r="F459" s="241">
        <f t="shared" si="97"/>
        <v>0</v>
      </c>
    </row>
    <row r="460" spans="2:6">
      <c r="B460">
        <v>-5</v>
      </c>
      <c r="C460" s="240">
        <f t="shared" si="93"/>
        <v>2.9815</v>
      </c>
      <c r="D460">
        <f t="shared" si="96"/>
        <v>50</v>
      </c>
      <c r="E460">
        <f>150+100</f>
        <v>250</v>
      </c>
      <c r="F460" s="241">
        <f t="shared" si="97"/>
        <v>0</v>
      </c>
    </row>
    <row r="461" spans="2:6">
      <c r="B461">
        <v>-4</v>
      </c>
      <c r="C461" s="240">
        <f t="shared" si="93"/>
        <v>3.0579487179487179</v>
      </c>
      <c r="D461">
        <f t="shared" si="96"/>
        <v>70</v>
      </c>
      <c r="E461">
        <f>200+120</f>
        <v>320</v>
      </c>
      <c r="F461" s="241">
        <f t="shared" si="97"/>
        <v>0</v>
      </c>
    </row>
    <row r="462" spans="2:6">
      <c r="B462">
        <v>-3</v>
      </c>
      <c r="C462" s="240">
        <f t="shared" si="93"/>
        <v>3.1384210526315788</v>
      </c>
      <c r="D462">
        <f t="shared" si="96"/>
        <v>10</v>
      </c>
      <c r="E462">
        <f>200+130</f>
        <v>330</v>
      </c>
      <c r="F462" s="241">
        <f t="shared" si="97"/>
        <v>0</v>
      </c>
    </row>
    <row r="463" spans="2:6">
      <c r="B463">
        <v>-2</v>
      </c>
      <c r="C463" s="240">
        <f t="shared" si="93"/>
        <v>3.2232432432432434</v>
      </c>
      <c r="D463">
        <f t="shared" si="96"/>
        <v>80</v>
      </c>
      <c r="E463">
        <f>250+160</f>
        <v>410</v>
      </c>
      <c r="F463" s="241">
        <f t="shared" si="97"/>
        <v>0</v>
      </c>
    </row>
    <row r="464" spans="2:6">
      <c r="B464">
        <v>-1</v>
      </c>
      <c r="C464" s="240">
        <f t="shared" si="93"/>
        <v>3.3127777777777774</v>
      </c>
      <c r="D464">
        <f t="shared" si="96"/>
        <v>170</v>
      </c>
      <c r="E464">
        <f>350+230</f>
        <v>580</v>
      </c>
      <c r="F464" s="241">
        <f t="shared" si="97"/>
        <v>0</v>
      </c>
    </row>
    <row r="465" spans="2:6">
      <c r="B465">
        <v>0</v>
      </c>
      <c r="C465" s="240">
        <f t="shared" si="93"/>
        <v>3.4074285714285715</v>
      </c>
      <c r="D465">
        <f t="shared" si="96"/>
        <v>320</v>
      </c>
      <c r="E465">
        <f>550+350</f>
        <v>900</v>
      </c>
      <c r="F465" s="241">
        <f t="shared" si="97"/>
        <v>0</v>
      </c>
    </row>
    <row r="466" spans="2:6">
      <c r="B466">
        <v>1</v>
      </c>
      <c r="C466" s="240">
        <f t="shared" si="93"/>
        <v>3.5076470588235291</v>
      </c>
      <c r="D466">
        <f t="shared" si="96"/>
        <v>330</v>
      </c>
      <c r="E466">
        <f>750+480</f>
        <v>1230</v>
      </c>
      <c r="F466" s="241">
        <f t="shared" si="97"/>
        <v>0</v>
      </c>
    </row>
    <row r="467" spans="2:6">
      <c r="B467">
        <v>2</v>
      </c>
      <c r="C467" s="240">
        <f t="shared" si="93"/>
        <v>3.6139393939393933</v>
      </c>
      <c r="D467">
        <f t="shared" si="96"/>
        <v>390</v>
      </c>
      <c r="E467">
        <f>1000+620</f>
        <v>1620</v>
      </c>
      <c r="F467" s="241">
        <f t="shared" si="97"/>
        <v>0</v>
      </c>
    </row>
    <row r="468" spans="2:6">
      <c r="B468">
        <v>3</v>
      </c>
      <c r="C468" s="240">
        <f t="shared" si="93"/>
        <v>3.7268749999999997</v>
      </c>
      <c r="D468">
        <f t="shared" si="96"/>
        <v>430</v>
      </c>
      <c r="E468">
        <f>1250+800</f>
        <v>2050</v>
      </c>
      <c r="F468" s="241">
        <f t="shared" si="97"/>
        <v>0</v>
      </c>
    </row>
    <row r="469" spans="2:6">
      <c r="F469" s="241">
        <f>SUM(F447:F468)</f>
        <v>0</v>
      </c>
    </row>
  </sheetData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EFD96-3C7B-4003-AD6F-313F5BB068E0}">
  <dimension ref="A1:K45"/>
  <sheetViews>
    <sheetView topLeftCell="A14" workbookViewId="0">
      <selection activeCell="E61" sqref="E61"/>
    </sheetView>
  </sheetViews>
  <sheetFormatPr baseColWidth="10" defaultRowHeight="15"/>
  <cols>
    <col min="1" max="1" width="32" style="83" bestFit="1" customWidth="1"/>
    <col min="2" max="2" width="11.28515625" style="83"/>
    <col min="3" max="3" width="22.85546875" style="83" customWidth="1"/>
    <col min="4" max="11" width="11.42578125" style="83"/>
  </cols>
  <sheetData>
    <row r="1" spans="1:8" ht="51.75" thickBot="1">
      <c r="A1" s="79" t="s">
        <v>247</v>
      </c>
      <c r="B1" s="80" t="s">
        <v>259</v>
      </c>
      <c r="C1" s="80" t="s">
        <v>260</v>
      </c>
      <c r="D1" s="81" t="s">
        <v>261</v>
      </c>
      <c r="E1" s="82" t="s">
        <v>262</v>
      </c>
      <c r="F1" s="82" t="s">
        <v>263</v>
      </c>
      <c r="H1" s="83" t="s">
        <v>264</v>
      </c>
    </row>
    <row r="2" spans="1:8">
      <c r="A2" s="84" t="s">
        <v>265</v>
      </c>
      <c r="B2" s="85">
        <v>0</v>
      </c>
      <c r="C2" s="86">
        <v>0</v>
      </c>
    </row>
    <row r="3" spans="1:8">
      <c r="A3" s="84" t="s">
        <v>266</v>
      </c>
      <c r="B3" s="87">
        <v>650</v>
      </c>
      <c r="C3" s="84">
        <v>3.1</v>
      </c>
      <c r="D3" s="83">
        <v>1</v>
      </c>
      <c r="E3" s="83">
        <v>0.85</v>
      </c>
      <c r="F3" s="83">
        <v>0.85</v>
      </c>
    </row>
    <row r="4" spans="1:8">
      <c r="A4" s="84" t="s">
        <v>267</v>
      </c>
      <c r="B4" s="87">
        <v>3750</v>
      </c>
      <c r="C4" s="84">
        <v>16.100000000000001</v>
      </c>
      <c r="D4" s="83">
        <v>1</v>
      </c>
      <c r="E4" s="83">
        <v>0.82</v>
      </c>
      <c r="F4" s="83">
        <v>0.82</v>
      </c>
    </row>
    <row r="5" spans="1:8">
      <c r="A5" s="84" t="s">
        <v>268</v>
      </c>
      <c r="B5" s="87">
        <v>1400</v>
      </c>
      <c r="C5" s="84">
        <v>7.7</v>
      </c>
      <c r="D5" s="83">
        <v>0.8</v>
      </c>
      <c r="E5" s="83">
        <v>0.55000000000000004</v>
      </c>
      <c r="F5" s="83">
        <v>0.44000000000000006</v>
      </c>
    </row>
    <row r="6" spans="1:8">
      <c r="A6" s="84" t="s">
        <v>269</v>
      </c>
      <c r="B6" s="87">
        <v>1950</v>
      </c>
      <c r="C6" s="84">
        <v>11.1</v>
      </c>
      <c r="D6" s="83">
        <v>0.8</v>
      </c>
      <c r="E6" s="83">
        <v>0.87</v>
      </c>
      <c r="F6" s="83">
        <v>0.69600000000000006</v>
      </c>
    </row>
    <row r="7" spans="1:8">
      <c r="A7" s="84" t="s">
        <v>270</v>
      </c>
      <c r="B7" s="87">
        <v>750</v>
      </c>
      <c r="C7" s="84">
        <v>4.2</v>
      </c>
      <c r="D7" s="83">
        <v>0.8</v>
      </c>
      <c r="E7" s="83">
        <v>0.55000000000000004</v>
      </c>
      <c r="F7" s="83">
        <v>0.44000000000000006</v>
      </c>
    </row>
    <row r="8" spans="1:8">
      <c r="A8" s="84" t="s">
        <v>271</v>
      </c>
      <c r="B8" s="87">
        <v>1200</v>
      </c>
      <c r="C8" s="84">
        <v>4.2</v>
      </c>
      <c r="D8" s="83">
        <v>1</v>
      </c>
      <c r="E8" s="83">
        <v>0.57999999999999996</v>
      </c>
      <c r="F8" s="83">
        <v>0.57999999999999996</v>
      </c>
    </row>
    <row r="9" spans="1:8">
      <c r="A9" s="84" t="s">
        <v>272</v>
      </c>
      <c r="B9" s="87">
        <v>1300</v>
      </c>
      <c r="C9" s="84">
        <v>6.9</v>
      </c>
      <c r="D9" s="83">
        <v>0.8</v>
      </c>
      <c r="E9" s="83">
        <v>0.64</v>
      </c>
      <c r="F9" s="83">
        <v>0.51200000000000001</v>
      </c>
    </row>
    <row r="10" spans="1:8">
      <c r="A10" s="84" t="s">
        <v>273</v>
      </c>
      <c r="B10" s="87">
        <v>1150</v>
      </c>
      <c r="C10" s="84">
        <v>3.7</v>
      </c>
      <c r="D10" s="83">
        <v>0.8</v>
      </c>
      <c r="E10" s="83">
        <v>0.5</v>
      </c>
      <c r="F10" s="83">
        <v>0.4</v>
      </c>
    </row>
    <row r="11" spans="1:8">
      <c r="A11" s="84" t="s">
        <v>274</v>
      </c>
      <c r="B11" s="87">
        <v>1350</v>
      </c>
      <c r="C11" s="84">
        <v>4.0999999999999996</v>
      </c>
      <c r="D11" s="83">
        <v>0.8</v>
      </c>
      <c r="E11" s="83">
        <v>0.77</v>
      </c>
      <c r="F11" s="83">
        <v>0.6160000000000001</v>
      </c>
    </row>
    <row r="12" spans="1:8">
      <c r="A12" s="84" t="s">
        <v>275</v>
      </c>
      <c r="B12" s="87">
        <v>1700</v>
      </c>
      <c r="C12" s="84">
        <v>9.6</v>
      </c>
      <c r="D12" s="83">
        <v>0.8</v>
      </c>
      <c r="E12" s="83">
        <v>0.87</v>
      </c>
      <c r="F12" s="83">
        <v>0.69600000000000006</v>
      </c>
    </row>
    <row r="13" spans="1:8">
      <c r="A13" s="84" t="s">
        <v>276</v>
      </c>
      <c r="B13" s="87">
        <v>1300</v>
      </c>
      <c r="C13" s="84">
        <v>6.9</v>
      </c>
      <c r="D13" s="83">
        <v>0.8</v>
      </c>
      <c r="E13" s="83">
        <v>0.64</v>
      </c>
      <c r="F13" s="83">
        <v>0.51200000000000001</v>
      </c>
    </row>
    <row r="14" spans="1:8">
      <c r="A14" s="84" t="s">
        <v>277</v>
      </c>
      <c r="B14" s="87">
        <v>4000</v>
      </c>
      <c r="C14" s="84">
        <v>45.8</v>
      </c>
      <c r="D14" s="83">
        <v>1</v>
      </c>
      <c r="E14" s="83">
        <v>1</v>
      </c>
      <c r="F14" s="83">
        <v>1</v>
      </c>
    </row>
    <row r="15" spans="1:8">
      <c r="A15" s="84" t="s">
        <v>278</v>
      </c>
      <c r="B15" s="87">
        <v>4000</v>
      </c>
      <c r="C15" s="84">
        <v>45.8</v>
      </c>
      <c r="D15" s="83">
        <v>1</v>
      </c>
      <c r="E15" s="83">
        <v>1</v>
      </c>
      <c r="F15" s="83">
        <v>1</v>
      </c>
    </row>
    <row r="16" spans="1:8">
      <c r="A16" s="84" t="s">
        <v>279</v>
      </c>
      <c r="B16" s="87">
        <v>4000</v>
      </c>
      <c r="C16" s="84">
        <v>36.6</v>
      </c>
      <c r="D16" s="83">
        <v>1</v>
      </c>
      <c r="E16" s="83">
        <v>1</v>
      </c>
      <c r="F16" s="83">
        <v>1</v>
      </c>
    </row>
    <row r="17" spans="1:6">
      <c r="A17" s="84" t="s">
        <v>258</v>
      </c>
      <c r="B17" s="87">
        <v>2500</v>
      </c>
      <c r="C17" s="84">
        <v>8.6</v>
      </c>
      <c r="D17" s="83">
        <v>0.8</v>
      </c>
      <c r="E17" s="83">
        <v>0.9</v>
      </c>
      <c r="F17" s="83">
        <v>0.72000000000000008</v>
      </c>
    </row>
    <row r="18" spans="1:6">
      <c r="A18" s="84" t="s">
        <v>280</v>
      </c>
      <c r="B18" s="87">
        <v>1500</v>
      </c>
      <c r="C18" s="84">
        <v>3.1</v>
      </c>
      <c r="D18" s="83">
        <v>0.8</v>
      </c>
      <c r="E18" s="83">
        <v>0.92</v>
      </c>
      <c r="F18" s="83">
        <v>0.7360000000000001</v>
      </c>
    </row>
    <row r="19" spans="1:6">
      <c r="A19" s="84" t="s">
        <v>281</v>
      </c>
      <c r="B19" s="87">
        <v>2450</v>
      </c>
      <c r="C19" s="84">
        <v>29.1</v>
      </c>
      <c r="D19" s="83">
        <v>1</v>
      </c>
      <c r="E19" s="83">
        <v>0.78</v>
      </c>
      <c r="F19" s="83">
        <v>0.78</v>
      </c>
    </row>
    <row r="20" spans="1:6">
      <c r="A20" s="84" t="s">
        <v>282</v>
      </c>
      <c r="B20" s="87">
        <v>1900</v>
      </c>
      <c r="C20" s="84">
        <v>19.2</v>
      </c>
      <c r="D20" s="83">
        <v>1</v>
      </c>
      <c r="E20" s="83">
        <v>0.87</v>
      </c>
      <c r="F20" s="83">
        <v>0.87</v>
      </c>
    </row>
    <row r="21" spans="1:6">
      <c r="A21" s="84" t="s">
        <v>283</v>
      </c>
      <c r="B21" s="87">
        <v>3000</v>
      </c>
      <c r="C21" s="84">
        <v>16</v>
      </c>
      <c r="D21" s="83">
        <v>1</v>
      </c>
      <c r="E21" s="83">
        <v>1</v>
      </c>
      <c r="F21" s="83">
        <v>1</v>
      </c>
    </row>
    <row r="22" spans="1:6">
      <c r="A22" s="84" t="s">
        <v>284</v>
      </c>
      <c r="B22" s="87">
        <v>2750</v>
      </c>
      <c r="C22" s="84">
        <v>12.3</v>
      </c>
      <c r="D22" s="83">
        <v>1</v>
      </c>
      <c r="E22" s="83">
        <v>0.72</v>
      </c>
      <c r="F22" s="83">
        <v>0.72</v>
      </c>
    </row>
    <row r="23" spans="1:6">
      <c r="A23" s="84" t="s">
        <v>285</v>
      </c>
      <c r="B23" s="87">
        <v>2750</v>
      </c>
      <c r="C23" s="84">
        <v>24.5</v>
      </c>
      <c r="D23" s="83">
        <v>1</v>
      </c>
      <c r="E23" s="83">
        <v>0.85</v>
      </c>
      <c r="F23" s="83">
        <v>0.85</v>
      </c>
    </row>
    <row r="24" spans="1:6">
      <c r="A24" s="84" t="s">
        <v>286</v>
      </c>
      <c r="B24" s="87">
        <v>1550</v>
      </c>
      <c r="C24" s="84">
        <v>5.8</v>
      </c>
      <c r="D24" s="83">
        <v>1</v>
      </c>
      <c r="E24" s="83">
        <v>0.65</v>
      </c>
      <c r="F24" s="83">
        <v>0.65</v>
      </c>
    </row>
    <row r="25" spans="1:6">
      <c r="A25" s="84" t="s">
        <v>287</v>
      </c>
      <c r="B25" s="87">
        <v>5650</v>
      </c>
      <c r="C25" s="84">
        <v>47.4</v>
      </c>
      <c r="D25" s="83">
        <v>1</v>
      </c>
      <c r="E25" s="83">
        <v>0.85</v>
      </c>
      <c r="F25" s="83">
        <v>0.85</v>
      </c>
    </row>
    <row r="26" spans="1:6">
      <c r="A26" s="84" t="s">
        <v>288</v>
      </c>
      <c r="B26" s="87">
        <v>1650</v>
      </c>
      <c r="C26" s="84">
        <v>15.6</v>
      </c>
      <c r="D26" s="83">
        <v>1</v>
      </c>
      <c r="E26" s="83">
        <v>0.71</v>
      </c>
      <c r="F26" s="83">
        <v>0.71</v>
      </c>
    </row>
    <row r="27" spans="1:6">
      <c r="A27" s="84" t="s">
        <v>289</v>
      </c>
      <c r="B27" s="87">
        <v>3950</v>
      </c>
      <c r="C27" s="84">
        <v>16.100000000000001</v>
      </c>
      <c r="D27" s="83">
        <v>0.8</v>
      </c>
      <c r="E27" s="83">
        <v>0.84</v>
      </c>
      <c r="F27" s="83">
        <v>0.67200000000000004</v>
      </c>
    </row>
    <row r="28" spans="1:6">
      <c r="A28" s="84" t="s">
        <v>290</v>
      </c>
      <c r="B28" s="87">
        <v>1550</v>
      </c>
      <c r="C28" s="84">
        <v>9.6999999999999993</v>
      </c>
      <c r="D28" s="83">
        <v>0.8</v>
      </c>
      <c r="E28" s="83">
        <v>0.71</v>
      </c>
      <c r="F28" s="83">
        <v>0.56799999999999995</v>
      </c>
    </row>
    <row r="29" spans="1:6">
      <c r="A29" s="84" t="s">
        <v>291</v>
      </c>
      <c r="B29" s="87">
        <v>1200</v>
      </c>
      <c r="C29" s="84">
        <v>7.3</v>
      </c>
      <c r="D29" s="83">
        <v>1</v>
      </c>
      <c r="E29" s="83">
        <v>0.45</v>
      </c>
      <c r="F29" s="83">
        <v>0.45</v>
      </c>
    </row>
    <row r="30" spans="1:6">
      <c r="A30" s="84" t="s">
        <v>292</v>
      </c>
      <c r="B30" s="87">
        <v>3950</v>
      </c>
      <c r="C30" s="84">
        <v>16.8</v>
      </c>
      <c r="D30" s="83">
        <v>0.8</v>
      </c>
      <c r="E30" s="83">
        <v>0.84</v>
      </c>
      <c r="F30" s="83">
        <v>0.67200000000000004</v>
      </c>
    </row>
    <row r="31" spans="1:6">
      <c r="A31" s="84" t="s">
        <v>293</v>
      </c>
      <c r="B31" s="87">
        <v>2150</v>
      </c>
      <c r="C31" s="84">
        <v>13.5</v>
      </c>
      <c r="D31" s="83">
        <v>0.8</v>
      </c>
      <c r="E31" s="83">
        <v>0.83</v>
      </c>
      <c r="F31" s="83">
        <v>0.66400000000000003</v>
      </c>
    </row>
    <row r="32" spans="1:6">
      <c r="A32" s="84" t="s">
        <v>294</v>
      </c>
      <c r="B32" s="87">
        <v>3150</v>
      </c>
      <c r="C32" s="84">
        <v>11.7</v>
      </c>
      <c r="D32" s="83">
        <v>0.8</v>
      </c>
      <c r="E32" s="83">
        <v>0.86</v>
      </c>
      <c r="F32" s="83">
        <v>0.68800000000000006</v>
      </c>
    </row>
    <row r="33" spans="1:6">
      <c r="A33" s="84" t="s">
        <v>295</v>
      </c>
      <c r="B33" s="87">
        <v>2600</v>
      </c>
      <c r="C33" s="84">
        <v>10.4</v>
      </c>
      <c r="D33" s="83">
        <v>0.8</v>
      </c>
      <c r="E33" s="83">
        <v>0.74</v>
      </c>
      <c r="F33" s="83">
        <v>0.59199999999999997</v>
      </c>
    </row>
    <row r="34" spans="1:6">
      <c r="A34" s="84" t="s">
        <v>296</v>
      </c>
      <c r="B34" s="87">
        <v>1650</v>
      </c>
      <c r="C34" s="84">
        <v>2.9</v>
      </c>
      <c r="D34" s="83">
        <v>0.5</v>
      </c>
      <c r="E34" s="83">
        <v>0.6</v>
      </c>
      <c r="F34" s="83">
        <v>0.3</v>
      </c>
    </row>
    <row r="35" spans="1:6">
      <c r="A35" s="84" t="s">
        <v>297</v>
      </c>
      <c r="B35" s="87">
        <v>3350</v>
      </c>
      <c r="C35" s="84">
        <v>12.6</v>
      </c>
      <c r="D35" s="83">
        <v>0.5</v>
      </c>
      <c r="E35" s="83">
        <v>0.82</v>
      </c>
      <c r="F35" s="83">
        <v>0.41</v>
      </c>
    </row>
    <row r="36" spans="1:6">
      <c r="A36" s="84" t="s">
        <v>298</v>
      </c>
      <c r="B36" s="87">
        <v>1700</v>
      </c>
      <c r="C36" s="84">
        <v>6.3</v>
      </c>
      <c r="D36" s="83">
        <v>0.5</v>
      </c>
      <c r="E36" s="83">
        <v>0.6</v>
      </c>
      <c r="F36" s="83">
        <v>0.3</v>
      </c>
    </row>
    <row r="37" spans="1:6">
      <c r="A37" s="84" t="s">
        <v>299</v>
      </c>
      <c r="B37" s="87">
        <v>1400</v>
      </c>
      <c r="C37" s="84">
        <v>1.8</v>
      </c>
      <c r="D37" s="83">
        <v>0.5</v>
      </c>
      <c r="E37" s="83">
        <v>0.6</v>
      </c>
      <c r="F37" s="83">
        <v>0.3</v>
      </c>
    </row>
    <row r="38" spans="1:6">
      <c r="A38" s="84" t="s">
        <v>300</v>
      </c>
      <c r="B38" s="87">
        <v>850</v>
      </c>
      <c r="C38" s="84">
        <v>1.8</v>
      </c>
      <c r="D38" s="83">
        <v>0.5</v>
      </c>
      <c r="E38" s="83">
        <v>0.56000000000000005</v>
      </c>
      <c r="F38" s="83">
        <v>0.28000000000000003</v>
      </c>
    </row>
    <row r="39" spans="1:6">
      <c r="A39" s="84" t="s">
        <v>301</v>
      </c>
      <c r="B39" s="87">
        <v>850</v>
      </c>
      <c r="C39" s="84">
        <v>2.1</v>
      </c>
      <c r="D39" s="83">
        <v>0.5</v>
      </c>
      <c r="E39" s="83">
        <v>0.56000000000000005</v>
      </c>
      <c r="F39" s="83">
        <v>0.28000000000000003</v>
      </c>
    </row>
    <row r="40" spans="1:6">
      <c r="A40" s="84" t="s">
        <v>302</v>
      </c>
      <c r="B40" s="87">
        <v>800</v>
      </c>
      <c r="C40" s="84">
        <v>3.3</v>
      </c>
      <c r="D40" s="83">
        <v>0.5</v>
      </c>
      <c r="E40" s="83">
        <v>0.5</v>
      </c>
      <c r="F40" s="83">
        <v>0.25</v>
      </c>
    </row>
    <row r="41" spans="1:6">
      <c r="A41" s="84" t="s">
        <v>303</v>
      </c>
      <c r="B41" s="87">
        <v>850</v>
      </c>
      <c r="C41" s="84">
        <v>2.2000000000000002</v>
      </c>
      <c r="D41" s="83">
        <v>0.5</v>
      </c>
      <c r="E41" s="83">
        <v>0.56999999999999995</v>
      </c>
      <c r="F41" s="83">
        <v>0.28499999999999998</v>
      </c>
    </row>
    <row r="42" spans="1:6">
      <c r="A42" s="84" t="s">
        <v>257</v>
      </c>
      <c r="B42" s="87">
        <v>1600</v>
      </c>
      <c r="C42" s="84">
        <v>1.2</v>
      </c>
      <c r="D42" s="83">
        <v>0.5</v>
      </c>
      <c r="E42" s="83">
        <v>1</v>
      </c>
      <c r="F42" s="83">
        <v>0.5</v>
      </c>
    </row>
    <row r="43" spans="1:6">
      <c r="A43" s="84" t="s">
        <v>304</v>
      </c>
      <c r="B43" s="87">
        <v>1100</v>
      </c>
      <c r="C43" s="84">
        <v>4.3</v>
      </c>
      <c r="D43" s="83">
        <v>0.5</v>
      </c>
      <c r="E43" s="83">
        <v>0.68</v>
      </c>
      <c r="F43" s="83">
        <v>0.34</v>
      </c>
    </row>
    <row r="44" spans="1:6">
      <c r="A44" s="84" t="s">
        <v>305</v>
      </c>
      <c r="B44" s="87">
        <v>50</v>
      </c>
      <c r="C44" s="84">
        <v>0.1</v>
      </c>
      <c r="D44" s="83">
        <v>0.5</v>
      </c>
      <c r="E44" s="83">
        <v>1</v>
      </c>
      <c r="F44" s="83">
        <v>0.5</v>
      </c>
    </row>
    <row r="45" spans="1:6">
      <c r="A45" s="84" t="s">
        <v>306</v>
      </c>
      <c r="B45" s="87">
        <v>50</v>
      </c>
      <c r="C45" s="84">
        <v>0.1</v>
      </c>
      <c r="D45" s="83">
        <v>1</v>
      </c>
      <c r="E45" s="83">
        <v>1</v>
      </c>
      <c r="F45" s="83">
        <v>1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4A202-EDC7-4E64-B028-07511AE20C63}">
  <sheetPr codeName="Tabelle7"/>
  <dimension ref="A1:W6"/>
  <sheetViews>
    <sheetView workbookViewId="0">
      <selection activeCell="T9" sqref="T9"/>
    </sheetView>
  </sheetViews>
  <sheetFormatPr baseColWidth="10" defaultRowHeight="15"/>
  <cols>
    <col min="13" max="13" width="10.5703125" customWidth="1"/>
    <col min="21" max="21" width="13.85546875" customWidth="1"/>
  </cols>
  <sheetData>
    <row r="1" spans="1:23" ht="26.25">
      <c r="A1" s="9"/>
      <c r="B1" s="9"/>
      <c r="C1" s="9"/>
      <c r="G1" s="9"/>
    </row>
    <row r="2" spans="1:23" ht="60">
      <c r="A2" s="1" t="s">
        <v>193</v>
      </c>
      <c r="B2" s="2" t="s">
        <v>5</v>
      </c>
      <c r="C2" s="2" t="s">
        <v>20</v>
      </c>
      <c r="D2" s="2" t="s">
        <v>69</v>
      </c>
      <c r="E2" s="2" t="s">
        <v>67</v>
      </c>
      <c r="F2" s="2" t="s">
        <v>66</v>
      </c>
      <c r="G2" s="2" t="s">
        <v>11</v>
      </c>
      <c r="H2" s="2" t="s">
        <v>12</v>
      </c>
      <c r="I2" s="2" t="s">
        <v>17</v>
      </c>
      <c r="J2" s="2" t="s">
        <v>194</v>
      </c>
      <c r="K2" s="2" t="s">
        <v>195</v>
      </c>
      <c r="L2" s="2" t="s">
        <v>68</v>
      </c>
      <c r="M2" s="368" t="s">
        <v>6</v>
      </c>
      <c r="N2" s="368"/>
      <c r="O2" s="2" t="s">
        <v>7</v>
      </c>
      <c r="P2" s="66" t="s">
        <v>19</v>
      </c>
      <c r="Q2" s="2" t="s">
        <v>8</v>
      </c>
      <c r="R2" s="2" t="s">
        <v>9</v>
      </c>
      <c r="S2" s="2" t="s">
        <v>10</v>
      </c>
      <c r="T2" s="14" t="s">
        <v>18</v>
      </c>
      <c r="U2" s="14" t="s">
        <v>24</v>
      </c>
      <c r="V2" s="276" t="s">
        <v>583</v>
      </c>
      <c r="W2" s="276" t="s">
        <v>584</v>
      </c>
    </row>
    <row r="3" spans="1:23" ht="20.25" customHeight="1">
      <c r="A3" s="8">
        <f>Anmeldung!D9</f>
        <v>0</v>
      </c>
      <c r="B3" s="8">
        <f>Anmeldung!D10</f>
        <v>0</v>
      </c>
      <c r="C3" s="8">
        <f>Anmeldung!D11</f>
        <v>0</v>
      </c>
      <c r="D3" s="8" t="str">
        <f>Anmeldung!D12</f>
        <v>select</v>
      </c>
      <c r="E3" s="8">
        <f>Anmeldung!G13</f>
        <v>0</v>
      </c>
      <c r="F3" s="10">
        <f>Anmeldung!D13</f>
        <v>0</v>
      </c>
      <c r="G3" s="10">
        <f>Anmeldung!D14</f>
        <v>0</v>
      </c>
      <c r="H3" s="10">
        <f>Anmeldung!D15</f>
        <v>0</v>
      </c>
      <c r="I3" s="10">
        <f>Anmeldung!D16</f>
        <v>0</v>
      </c>
      <c r="J3" s="10">
        <f>Anmeldung!D19</f>
        <v>0</v>
      </c>
      <c r="K3" s="10">
        <f>Anmeldung!D20</f>
        <v>0</v>
      </c>
      <c r="L3" s="43" t="str">
        <f>Anmeldung!D23</f>
        <v>select</v>
      </c>
      <c r="M3" s="11">
        <f>SUM(Anmeldung!C36:J36)</f>
        <v>25</v>
      </c>
      <c r="N3" s="11">
        <f>SUM(Anmeldung!C37:J37)</f>
        <v>0</v>
      </c>
      <c r="O3" s="11">
        <f>SUM(Anmeldung!C38:J38)</f>
        <v>2.75E-2</v>
      </c>
      <c r="P3" s="11">
        <f>SUM(Anmeldung!C39:I39)</f>
        <v>0</v>
      </c>
      <c r="Q3" s="12">
        <f>Anmeldung!D57</f>
        <v>0</v>
      </c>
      <c r="R3" s="8">
        <f>Anmeldung!D44</f>
        <v>0</v>
      </c>
      <c r="S3" s="13">
        <f>Anmeldung!D47</f>
        <v>0</v>
      </c>
      <c r="T3" s="3">
        <f>Anmeldung!C41</f>
        <v>0</v>
      </c>
      <c r="U3" s="3" t="str">
        <f>Anmeldung!E3</f>
        <v>DE</v>
      </c>
      <c r="V3">
        <f ca="1">YEAR(TODAY())-Anmeldung!I24</f>
        <v>2024</v>
      </c>
      <c r="W3" s="242">
        <f ca="1">Anmeldung!D45</f>
        <v>0</v>
      </c>
    </row>
    <row r="6" spans="1:23">
      <c r="A6" t="s">
        <v>34</v>
      </c>
      <c r="B6" t="s">
        <v>371</v>
      </c>
    </row>
  </sheetData>
  <mergeCells count="1">
    <mergeCell ref="M2:N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</vt:i4>
      </vt:variant>
    </vt:vector>
  </HeadingPairs>
  <TitlesOfParts>
    <vt:vector size="12" baseType="lpstr">
      <vt:lpstr>Anmeldung</vt:lpstr>
      <vt:lpstr>Ersetzen Motoren</vt:lpstr>
      <vt:lpstr>Sprachen</vt:lpstr>
      <vt:lpstr>Ersatz_Motor</vt:lpstr>
      <vt:lpstr>Ersatz_Ventilator</vt:lpstr>
      <vt:lpstr>Ersetzen Pumpen</vt:lpstr>
      <vt:lpstr>Ersetzen Leuchtmittel</vt:lpstr>
      <vt:lpstr>Ersatz_Heizlüfter</vt:lpstr>
      <vt:lpstr>Vorgabe ProKilowatt Bel</vt:lpstr>
      <vt:lpstr>Export</vt:lpstr>
      <vt:lpstr>Anmeldung!Druckbereich</vt:lpstr>
      <vt:lpstr>Anmeldung!Massn5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Zemp</dc:creator>
  <cp:lastModifiedBy>Adrian Burri</cp:lastModifiedBy>
  <dcterms:created xsi:type="dcterms:W3CDTF">2006-09-16T00:00:00Z</dcterms:created>
  <dcterms:modified xsi:type="dcterms:W3CDTF">2024-03-08T12:20:03Z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19bc2682-5f16-40eb-9f42-4f51a441ab7d</vt:lpwstr>
  </property>
</Properties>
</file>